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содержание" sheetId="1" r:id="rId1"/>
  </sheets>
  <definedNames/>
  <calcPr fullCalcOnLoad="1"/>
</workbook>
</file>

<file path=xl/sharedStrings.xml><?xml version="1.0" encoding="utf-8"?>
<sst xmlns="http://schemas.openxmlformats.org/spreadsheetml/2006/main" count="75" uniqueCount="65">
  <si>
    <t>Анализ затрат на содержание и текущий ремонт общего имущества за 11 месяцев 2014 года</t>
  </si>
  <si>
    <t>Статьи затрат</t>
  </si>
  <si>
    <t>Площадь к расчету</t>
  </si>
  <si>
    <t>Фактические расходы за 11 мес 2014 г</t>
  </si>
  <si>
    <t>Планируемые расходы на 2015 год</t>
  </si>
  <si>
    <t>жилые</t>
  </si>
  <si>
    <t>нежилые</t>
  </si>
  <si>
    <t>Всего</t>
  </si>
  <si>
    <t>всего</t>
  </si>
  <si>
    <t>на 1 м2</t>
  </si>
  <si>
    <t>Содержание домовладений</t>
  </si>
  <si>
    <t>1.1. Расходы на зар.плату персонала</t>
  </si>
  <si>
    <t>Фонд оплаты труда персонала</t>
  </si>
  <si>
    <t>Страховые взносы на ФОТ</t>
  </si>
  <si>
    <t>по нормативу</t>
  </si>
  <si>
    <t>Замена и обслуживание приборов учета</t>
  </si>
  <si>
    <t>Поверка, допуски, пр.</t>
  </si>
  <si>
    <t>Ремонт кровли (Минская, 25)</t>
  </si>
  <si>
    <t>Материалы и инвентарь для техобслуживания</t>
  </si>
  <si>
    <t>Эн.сберегающие и видеонаблюд. в подъездах</t>
  </si>
  <si>
    <t>Текущий ремонт наружного освещения</t>
  </si>
  <si>
    <t>Ремонт асфальта</t>
  </si>
  <si>
    <t>Уличное видеонаблюдение и освещение</t>
  </si>
  <si>
    <t>Услуги банка, комиссия почты</t>
  </si>
  <si>
    <t>Поддержка программного обеспечения</t>
  </si>
  <si>
    <t>Приобретение и обслуживание офисной техники</t>
  </si>
  <si>
    <t>Приобретение инвентаря дворников</t>
  </si>
  <si>
    <t>Приобретение материалов и инвентаря уборщиц</t>
  </si>
  <si>
    <t>Канцтовары, замена картриджей</t>
  </si>
  <si>
    <t>Услуги связи (телефон, почта, интернет, сайт)</t>
  </si>
  <si>
    <t>Охранные услуги (сигнализация)</t>
  </si>
  <si>
    <t>Подготовка персонала</t>
  </si>
  <si>
    <t>Сборы, пошлины, пени, штрафы</t>
  </si>
  <si>
    <t>Ремонт офиса</t>
  </si>
  <si>
    <t>Замена ст/пакетов, мелкий ремонт в подъездах</t>
  </si>
  <si>
    <t>Мероприятия по ОТ и пож.безопасности</t>
  </si>
  <si>
    <t>Праздничные мероприятия</t>
  </si>
  <si>
    <t>Возмещение ущерба собственникам</t>
  </si>
  <si>
    <t>Косметический ремонт тепловых узлов</t>
  </si>
  <si>
    <t>Промывка т/обмен., ремонт т/трассы</t>
  </si>
  <si>
    <t>Расходы на судебные тяжбы (Кромская, 4)</t>
  </si>
  <si>
    <t>Благоустройство придомовой территории</t>
  </si>
  <si>
    <t>в том числе:</t>
  </si>
  <si>
    <t>Краски, бордюр, металл, щебень, инвентарь</t>
  </si>
  <si>
    <t>Уход за газонами и цветн. (саженцы, рассада, пр.)</t>
  </si>
  <si>
    <t>Ограждение газонов</t>
  </si>
  <si>
    <t>Лежачие полицейские</t>
  </si>
  <si>
    <t>Дератизация</t>
  </si>
  <si>
    <t>Очистка тротуаров и дорог с вывозом снега</t>
  </si>
  <si>
    <t>Итого содержание:</t>
  </si>
  <si>
    <t>Стоимость 1 м2 по домам с учетом ТО лифтов</t>
  </si>
  <si>
    <t>Минская, 25</t>
  </si>
  <si>
    <t>Нагорная,143</t>
  </si>
  <si>
    <t>Кромская, 4</t>
  </si>
  <si>
    <t>Ставропольская, 204</t>
  </si>
  <si>
    <t>Ставропольская, 202</t>
  </si>
  <si>
    <t>Модернизация сист. отопления (Ст.202, 204, Кр.,4)</t>
  </si>
  <si>
    <t>1.2. Обслуживание и тек.ремонт эл.оборудования</t>
  </si>
  <si>
    <t>1.3. Вывоз ТБО и КГМ</t>
  </si>
  <si>
    <t>1.4. Текущий ремонт домовладений</t>
  </si>
  <si>
    <t>1.5. Работы, выполненные  за счет резерва на ремонт</t>
  </si>
  <si>
    <t>1.6. Прочие расходы</t>
  </si>
  <si>
    <t>Примечание: Затраты, сумма которых не вошла в данный анализ, произведены за счет резерва на ремонт прошлых лет и за счет доходов от коммерческой деятельности.</t>
  </si>
  <si>
    <t>ТСЖ "Кировское-2"</t>
  </si>
  <si>
    <t>Приложение 3.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</si>
</sst>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руб.-419];[Red]\-#,##0.00\ [$руб.-419]"/>
    <numFmt numFmtId="173" formatCode="#,##0.000"/>
    <numFmt numFmtId="174" formatCode="#,##0.0"/>
    <numFmt numFmtId="175" formatCode="_-* #,##0.00_р_._-;\-* #,##0.00_р_._-;_-* \-??_р_._-;_-@_-"/>
  </numFmts>
  <fonts count="50">
    <font>
      <sz val="11"/>
      <color indexed="8"/>
      <name val="Arial1"/>
      <family val="0"/>
    </font>
    <font>
      <sz val="10"/>
      <name val="Arial"/>
      <family val="0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0"/>
      <color indexed="8"/>
      <name val="Arial1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1"/>
      <family val="0"/>
    </font>
    <font>
      <b/>
      <sz val="7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Arial1"/>
      <family val="0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172" fontId="3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5" fontId="0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4" fontId="5" fillId="33" borderId="18" xfId="0" applyNumberFormat="1" applyFont="1" applyFill="1" applyBorder="1" applyAlignment="1">
      <alignment horizontal="center"/>
    </xf>
    <xf numFmtId="4" fontId="5" fillId="33" borderId="19" xfId="0" applyNumberFormat="1" applyFont="1" applyFill="1" applyBorder="1" applyAlignment="1">
      <alignment horizontal="center"/>
    </xf>
    <xf numFmtId="4" fontId="5" fillId="33" borderId="16" xfId="0" applyNumberFormat="1" applyFont="1" applyFill="1" applyBorder="1" applyAlignment="1">
      <alignment horizontal="center"/>
    </xf>
    <xf numFmtId="4" fontId="5" fillId="33" borderId="17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20" xfId="0" applyFont="1" applyBorder="1" applyAlignment="1">
      <alignment horizontal="center" vertical="center"/>
    </xf>
    <xf numFmtId="0" fontId="7" fillId="34" borderId="21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4" fontId="5" fillId="34" borderId="18" xfId="0" applyNumberFormat="1" applyFont="1" applyFill="1" applyBorder="1" applyAlignment="1">
      <alignment horizontal="center"/>
    </xf>
    <xf numFmtId="4" fontId="5" fillId="34" borderId="19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right"/>
    </xf>
    <xf numFmtId="4" fontId="6" fillId="0" borderId="23" xfId="0" applyNumberFormat="1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/>
    </xf>
    <xf numFmtId="3" fontId="6" fillId="0" borderId="23" xfId="0" applyNumberFormat="1" applyFont="1" applyFill="1" applyBorder="1" applyAlignment="1">
      <alignment horizontal="center"/>
    </xf>
    <xf numFmtId="0" fontId="8" fillId="0" borderId="26" xfId="0" applyFont="1" applyBorder="1" applyAlignment="1">
      <alignment horizontal="right"/>
    </xf>
    <xf numFmtId="4" fontId="6" fillId="0" borderId="27" xfId="0" applyNumberFormat="1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3" fontId="5" fillId="34" borderId="16" xfId="0" applyNumberFormat="1" applyFont="1" applyFill="1" applyBorder="1" applyAlignment="1">
      <alignment horizontal="center"/>
    </xf>
    <xf numFmtId="4" fontId="5" fillId="34" borderId="18" xfId="0" applyNumberFormat="1" applyFont="1" applyFill="1" applyBorder="1" applyAlignment="1">
      <alignment horizontal="center" vertical="center"/>
    </xf>
    <xf numFmtId="4" fontId="6" fillId="34" borderId="17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right"/>
    </xf>
    <xf numFmtId="4" fontId="6" fillId="0" borderId="1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4" fontId="6" fillId="0" borderId="30" xfId="0" applyNumberFormat="1" applyFont="1" applyFill="1" applyBorder="1" applyAlignment="1">
      <alignment horizontal="center"/>
    </xf>
    <xf numFmtId="0" fontId="7" fillId="34" borderId="21" xfId="0" applyFont="1" applyFill="1" applyBorder="1" applyAlignment="1">
      <alignment/>
    </xf>
    <xf numFmtId="4" fontId="6" fillId="34" borderId="16" xfId="0" applyNumberFormat="1" applyFont="1" applyFill="1" applyBorder="1" applyAlignment="1">
      <alignment horizontal="center"/>
    </xf>
    <xf numFmtId="4" fontId="5" fillId="34" borderId="17" xfId="0" applyNumberFormat="1" applyFont="1" applyFill="1" applyBorder="1" applyAlignment="1">
      <alignment horizontal="center"/>
    </xf>
    <xf numFmtId="173" fontId="6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11" fillId="34" borderId="19" xfId="0" applyNumberFormat="1" applyFont="1" applyFill="1" applyBorder="1" applyAlignment="1">
      <alignment horizontal="center" vertical="top"/>
    </xf>
    <xf numFmtId="4" fontId="11" fillId="34" borderId="17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5" fillId="34" borderId="16" xfId="0" applyNumberFormat="1" applyFont="1" applyFill="1" applyBorder="1" applyAlignment="1">
      <alignment horizontal="center"/>
    </xf>
    <xf numFmtId="3" fontId="5" fillId="34" borderId="31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34" borderId="12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right" vertical="top" wrapText="1"/>
    </xf>
    <xf numFmtId="0" fontId="14" fillId="0" borderId="11" xfId="0" applyFont="1" applyBorder="1" applyAlignment="1">
      <alignment horizontal="right"/>
    </xf>
    <xf numFmtId="0" fontId="15" fillId="0" borderId="22" xfId="0" applyFont="1" applyBorder="1" applyAlignment="1">
      <alignment horizontal="right"/>
    </xf>
    <xf numFmtId="4" fontId="15" fillId="0" borderId="23" xfId="0" applyNumberFormat="1" applyFont="1" applyBorder="1" applyAlignment="1">
      <alignment horizontal="center"/>
    </xf>
    <xf numFmtId="4" fontId="15" fillId="0" borderId="22" xfId="0" applyNumberFormat="1" applyFont="1" applyFill="1" applyBorder="1" applyAlignment="1">
      <alignment horizontal="center"/>
    </xf>
    <xf numFmtId="4" fontId="15" fillId="0" borderId="24" xfId="0" applyNumberFormat="1" applyFont="1" applyFill="1" applyBorder="1" applyAlignment="1">
      <alignment horizontal="center"/>
    </xf>
    <xf numFmtId="4" fontId="15" fillId="0" borderId="24" xfId="0" applyNumberFormat="1" applyFont="1" applyFill="1" applyBorder="1" applyAlignment="1">
      <alignment horizontal="center" vertical="center"/>
    </xf>
    <xf numFmtId="4" fontId="15" fillId="0" borderId="25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right"/>
    </xf>
    <xf numFmtId="4" fontId="15" fillId="0" borderId="11" xfId="0" applyNumberFormat="1" applyFont="1" applyFill="1" applyBorder="1" applyAlignment="1">
      <alignment horizontal="center"/>
    </xf>
    <xf numFmtId="4" fontId="15" fillId="0" borderId="12" xfId="0" applyNumberFormat="1" applyFont="1" applyFill="1" applyBorder="1" applyAlignment="1">
      <alignment horizontal="center"/>
    </xf>
    <xf numFmtId="4" fontId="15" fillId="0" borderId="12" xfId="0" applyNumberFormat="1" applyFont="1" applyFill="1" applyBorder="1" applyAlignment="1">
      <alignment horizontal="center" vertical="center"/>
    </xf>
    <xf numFmtId="4" fontId="15" fillId="0" borderId="30" xfId="0" applyNumberFormat="1" applyFont="1" applyFill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 horizontal="right" vertical="top" wrapText="1"/>
    </xf>
    <xf numFmtId="0" fontId="9" fillId="33" borderId="17" xfId="0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4" fontId="5" fillId="34" borderId="12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right"/>
    </xf>
    <xf numFmtId="0" fontId="6" fillId="0" borderId="26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6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right"/>
    </xf>
    <xf numFmtId="4" fontId="6" fillId="0" borderId="34" xfId="0" applyNumberFormat="1" applyFont="1" applyBorder="1" applyAlignment="1">
      <alignment horizontal="center"/>
    </xf>
    <xf numFmtId="4" fontId="6" fillId="0" borderId="35" xfId="0" applyNumberFormat="1" applyFont="1" applyFill="1" applyBorder="1" applyAlignment="1">
      <alignment horizontal="center"/>
    </xf>
    <xf numFmtId="4" fontId="6" fillId="0" borderId="36" xfId="0" applyNumberFormat="1" applyFont="1" applyFill="1" applyBorder="1" applyAlignment="1">
      <alignment horizontal="center"/>
    </xf>
    <xf numFmtId="2" fontId="6" fillId="0" borderId="36" xfId="0" applyNumberFormat="1" applyFont="1" applyFill="1" applyBorder="1" applyAlignment="1">
      <alignment horizontal="center" vertical="center"/>
    </xf>
    <xf numFmtId="4" fontId="6" fillId="0" borderId="36" xfId="0" applyNumberFormat="1" applyFont="1" applyFill="1" applyBorder="1" applyAlignment="1">
      <alignment horizontal="center" vertical="center"/>
    </xf>
    <xf numFmtId="4" fontId="6" fillId="0" borderId="37" xfId="0" applyNumberFormat="1" applyFont="1" applyFill="1" applyBorder="1" applyAlignment="1">
      <alignment horizontal="center"/>
    </xf>
    <xf numFmtId="4" fontId="6" fillId="0" borderId="34" xfId="0" applyNumberFormat="1" applyFont="1" applyFill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6" fillId="0" borderId="38" xfId="0" applyNumberFormat="1" applyFont="1" applyFill="1" applyBorder="1" applyAlignment="1">
      <alignment horizontal="center"/>
    </xf>
    <xf numFmtId="4" fontId="6" fillId="0" borderId="39" xfId="0" applyNumberFormat="1" applyFont="1" applyFill="1" applyBorder="1" applyAlignment="1">
      <alignment horizontal="center" vertical="center"/>
    </xf>
    <xf numFmtId="4" fontId="6" fillId="0" borderId="4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110" zoomScaleNormal="110" zoomScalePageLayoutView="0" workbookViewId="0" topLeftCell="A1">
      <selection activeCell="N24" sqref="N24"/>
    </sheetView>
  </sheetViews>
  <sheetFormatPr defaultColWidth="8.3984375" defaultRowHeight="14.25"/>
  <cols>
    <col min="1" max="1" width="3.09765625" style="1" customWidth="1"/>
    <col min="2" max="2" width="36.19921875" style="2" customWidth="1"/>
    <col min="3" max="3" width="10.3984375" style="3" customWidth="1"/>
    <col min="4" max="4" width="8.5" style="4" customWidth="1"/>
    <col min="5" max="5" width="12.8984375" style="4" customWidth="1"/>
    <col min="6" max="6" width="12.3984375" style="5" customWidth="1"/>
    <col min="7" max="7" width="7.09765625" style="5" customWidth="1"/>
    <col min="8" max="8" width="11.59765625" style="5" customWidth="1"/>
    <col min="9" max="9" width="8.3984375" style="5" customWidth="1"/>
    <col min="10" max="10" width="14.09765625" style="5" customWidth="1"/>
    <col min="11" max="11" width="10.09765625" style="5" customWidth="1"/>
    <col min="12" max="12" width="8.8984375" style="5" customWidth="1"/>
  </cols>
  <sheetData>
    <row r="1" spans="1:12" s="7" customFormat="1" ht="15">
      <c r="A1" s="141" t="s">
        <v>63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42" t="s">
        <v>64</v>
      </c>
    </row>
    <row r="2" spans="1:12" s="7" customFormat="1" ht="15">
      <c r="A2" s="139"/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8"/>
    </row>
    <row r="3" spans="1:12" s="7" customFormat="1" ht="13.5" customHeight="1">
      <c r="A3" s="9"/>
      <c r="B3" s="10"/>
      <c r="C3" s="11"/>
      <c r="D3" s="6"/>
      <c r="E3" s="6"/>
      <c r="F3" s="6"/>
      <c r="G3" s="12"/>
      <c r="H3" s="6"/>
      <c r="I3" s="12"/>
      <c r="J3" s="13"/>
      <c r="K3" s="12"/>
      <c r="L3" s="12"/>
    </row>
    <row r="4" spans="1:12" s="7" customFormat="1" ht="21" customHeight="1">
      <c r="A4" s="145"/>
      <c r="B4" s="146" t="s">
        <v>1</v>
      </c>
      <c r="C4" s="147" t="s">
        <v>2</v>
      </c>
      <c r="D4" s="147"/>
      <c r="E4" s="148" t="s">
        <v>3</v>
      </c>
      <c r="F4" s="148"/>
      <c r="G4" s="148"/>
      <c r="H4" s="148"/>
      <c r="I4" s="148"/>
      <c r="J4" s="149" t="s">
        <v>4</v>
      </c>
      <c r="K4" s="149"/>
      <c r="L4" s="149"/>
    </row>
    <row r="5" spans="1:12" s="7" customFormat="1" ht="13.5" customHeight="1">
      <c r="A5" s="145"/>
      <c r="B5" s="146"/>
      <c r="C5" s="14" t="s">
        <v>5</v>
      </c>
      <c r="D5" s="15" t="s">
        <v>6</v>
      </c>
      <c r="E5" s="150" t="s">
        <v>7</v>
      </c>
      <c r="F5" s="151" t="s">
        <v>5</v>
      </c>
      <c r="G5" s="151"/>
      <c r="H5" s="151" t="s">
        <v>6</v>
      </c>
      <c r="I5" s="151"/>
      <c r="J5" s="143" t="s">
        <v>7</v>
      </c>
      <c r="K5" s="16" t="s">
        <v>5</v>
      </c>
      <c r="L5" s="17" t="s">
        <v>6</v>
      </c>
    </row>
    <row r="6" spans="1:12" s="7" customFormat="1" ht="13.5" customHeight="1">
      <c r="A6" s="18"/>
      <c r="B6" s="19"/>
      <c r="C6" s="20"/>
      <c r="D6" s="21"/>
      <c r="E6" s="150"/>
      <c r="F6" s="22" t="s">
        <v>8</v>
      </c>
      <c r="G6" s="22" t="s">
        <v>9</v>
      </c>
      <c r="H6" s="22" t="s">
        <v>8</v>
      </c>
      <c r="I6" s="22" t="s">
        <v>9</v>
      </c>
      <c r="J6" s="143"/>
      <c r="K6" s="22" t="s">
        <v>9</v>
      </c>
      <c r="L6" s="21" t="s">
        <v>9</v>
      </c>
    </row>
    <row r="7" spans="1:12" s="31" customFormat="1" ht="13.5" customHeight="1">
      <c r="A7" s="23">
        <v>1</v>
      </c>
      <c r="B7" s="24" t="s">
        <v>10</v>
      </c>
      <c r="C7" s="25"/>
      <c r="D7" s="26"/>
      <c r="E7" s="27"/>
      <c r="F7" s="27"/>
      <c r="G7" s="27"/>
      <c r="H7" s="27"/>
      <c r="I7" s="28"/>
      <c r="J7" s="29"/>
      <c r="K7" s="27"/>
      <c r="L7" s="30"/>
    </row>
    <row r="8" spans="1:12" s="31" customFormat="1" ht="13.5" customHeight="1">
      <c r="A8" s="32"/>
      <c r="B8" s="33" t="s">
        <v>11</v>
      </c>
      <c r="C8" s="34"/>
      <c r="D8" s="35"/>
      <c r="E8" s="36">
        <f>E9+E10</f>
        <v>6717114</v>
      </c>
      <c r="F8" s="36">
        <f>SUM(F9:F10)</f>
        <v>5252783.148000001</v>
      </c>
      <c r="G8" s="36">
        <v>5.28</v>
      </c>
      <c r="H8" s="36">
        <f>SUM(H9:H10)</f>
        <v>1464330.852</v>
      </c>
      <c r="I8" s="37">
        <f>SUM(I9:I10)</f>
        <v>7.781667536415183</v>
      </c>
      <c r="J8" s="38">
        <f>J9+J10</f>
        <v>7813000</v>
      </c>
      <c r="K8" s="39">
        <f>J8*0.782/C9/12</f>
        <v>5.624916221443481</v>
      </c>
      <c r="L8" s="40">
        <f>J8*0.218/D9/12</f>
        <v>8.296964205685782</v>
      </c>
    </row>
    <row r="9" spans="1:12" s="7" customFormat="1" ht="13.5" customHeight="1">
      <c r="A9" s="41"/>
      <c r="B9" s="42" t="s">
        <v>12</v>
      </c>
      <c r="C9" s="43">
        <v>90516.4</v>
      </c>
      <c r="D9" s="44">
        <f>4452.2+3651.5+4655.1+2725.3+1622.9</f>
        <v>17107</v>
      </c>
      <c r="E9" s="45">
        <v>5548925</v>
      </c>
      <c r="F9" s="45">
        <f>E9*0.782</f>
        <v>4339259.350000001</v>
      </c>
      <c r="G9" s="46">
        <f>F9/C9/11</f>
        <v>4.358084531944187</v>
      </c>
      <c r="H9" s="46">
        <f>E9*0.218</f>
        <v>1209665.65</v>
      </c>
      <c r="I9" s="47">
        <f>H9/D9/11</f>
        <v>6.428339542026921</v>
      </c>
      <c r="J9" s="48">
        <v>6500000</v>
      </c>
      <c r="K9" s="46">
        <f>J9*0.782/C9/12</f>
        <v>4.679630799869785</v>
      </c>
      <c r="L9" s="44">
        <f>J9*0.218/D9/12</f>
        <v>6.902632450653729</v>
      </c>
    </row>
    <row r="10" spans="1:12" s="7" customFormat="1" ht="13.5" customHeight="1">
      <c r="A10" s="41"/>
      <c r="B10" s="49" t="s">
        <v>13</v>
      </c>
      <c r="C10" s="50">
        <v>90516.4</v>
      </c>
      <c r="D10" s="51">
        <f>4452.2+3651.5+4655.1+2725.3+1622.9</f>
        <v>17107</v>
      </c>
      <c r="E10" s="52">
        <v>1168189</v>
      </c>
      <c r="F10" s="52">
        <f>E10*0.782</f>
        <v>913523.7980000001</v>
      </c>
      <c r="G10" s="53">
        <f>F10/C10/11</f>
        <v>0.91748697473607</v>
      </c>
      <c r="H10" s="53">
        <f>E10*0.218</f>
        <v>254665.202</v>
      </c>
      <c r="I10" s="54">
        <f>H10/D10/11</f>
        <v>1.3533279943882621</v>
      </c>
      <c r="J10" s="55">
        <f>J9*0.202</f>
        <v>1313000</v>
      </c>
      <c r="K10" s="46">
        <f>J10*0.782/C10/12</f>
        <v>0.9452854215736964</v>
      </c>
      <c r="L10" s="56">
        <f>J10*0.218/D10/12</f>
        <v>1.394331755032053</v>
      </c>
    </row>
    <row r="11" spans="1:12" s="7" customFormat="1" ht="13.5" customHeight="1">
      <c r="A11" s="41"/>
      <c r="B11" s="65" t="s">
        <v>57</v>
      </c>
      <c r="C11" s="66">
        <v>90516.4</v>
      </c>
      <c r="D11" s="59">
        <f>4452.2+3651.5+4655.1+2725.3+1622.9</f>
        <v>17107</v>
      </c>
      <c r="E11" s="36">
        <f>71541</f>
        <v>71541</v>
      </c>
      <c r="F11" s="36">
        <f>E11*0.782</f>
        <v>55945.062000000005</v>
      </c>
      <c r="G11" s="58">
        <v>0.06</v>
      </c>
      <c r="H11" s="58">
        <f>E11*0.218</f>
        <v>15595.938</v>
      </c>
      <c r="I11" s="37">
        <f>H11/D11/11</f>
        <v>0.08287908724233035</v>
      </c>
      <c r="J11" s="57">
        <v>78700</v>
      </c>
      <c r="K11" s="58">
        <f>J11*0.782/C10/12</f>
        <v>0.05665952983842339</v>
      </c>
      <c r="L11" s="67">
        <f>J11*0.218/12/D11</f>
        <v>0.08357494982560744</v>
      </c>
    </row>
    <row r="12" spans="1:12" s="7" customFormat="1" ht="7.5" customHeight="1">
      <c r="A12" s="41"/>
      <c r="B12" s="60"/>
      <c r="C12" s="61"/>
      <c r="D12" s="56"/>
      <c r="E12" s="63"/>
      <c r="F12" s="63"/>
      <c r="G12" s="68"/>
      <c r="H12" s="63"/>
      <c r="I12" s="64"/>
      <c r="J12" s="55"/>
      <c r="K12" s="46"/>
      <c r="L12" s="56"/>
    </row>
    <row r="13" spans="1:12" ht="15">
      <c r="A13" s="69"/>
      <c r="B13" s="65" t="s">
        <v>58</v>
      </c>
      <c r="C13" s="66">
        <v>90516.4</v>
      </c>
      <c r="D13" s="59">
        <f>4452.2+3651.5+4655.1+2725.3+1622.9</f>
        <v>17107</v>
      </c>
      <c r="E13" s="36">
        <v>1440208</v>
      </c>
      <c r="F13" s="36">
        <f>E13-H13</f>
        <v>943429</v>
      </c>
      <c r="G13" s="58">
        <f>F13/C13/11</f>
        <v>0.9475219156669148</v>
      </c>
      <c r="H13" s="58">
        <v>496779</v>
      </c>
      <c r="I13" s="70" t="s">
        <v>14</v>
      </c>
      <c r="J13" s="57">
        <v>980000</v>
      </c>
      <c r="K13" s="58">
        <v>0.9</v>
      </c>
      <c r="L13" s="71" t="s">
        <v>14</v>
      </c>
    </row>
    <row r="14" spans="1:12" s="7" customFormat="1" ht="7.5" customHeight="1">
      <c r="A14" s="41"/>
      <c r="B14" s="60"/>
      <c r="C14" s="61"/>
      <c r="D14" s="56"/>
      <c r="E14" s="63"/>
      <c r="F14" s="72"/>
      <c r="G14" s="73"/>
      <c r="H14" s="72"/>
      <c r="I14" s="64"/>
      <c r="J14" s="55"/>
      <c r="K14" s="46"/>
      <c r="L14" s="74"/>
    </row>
    <row r="15" spans="1:12" s="7" customFormat="1" ht="13.5" customHeight="1">
      <c r="A15" s="41"/>
      <c r="B15" s="33" t="s">
        <v>59</v>
      </c>
      <c r="C15" s="34"/>
      <c r="D15" s="35"/>
      <c r="E15" s="36">
        <f>SUM(E16:E19)</f>
        <v>625670</v>
      </c>
      <c r="F15" s="36">
        <f>SUM(F16:F19)</f>
        <v>532873.9400000001</v>
      </c>
      <c r="G15" s="36">
        <f>G16+G17+G18+G19</f>
        <v>0.5351857282718431</v>
      </c>
      <c r="H15" s="36">
        <f>SUM(H16:H19)</f>
        <v>92796.06</v>
      </c>
      <c r="I15" s="37">
        <f>SUM(I16:I19)</f>
        <v>0.4931317854998219</v>
      </c>
      <c r="J15" s="57">
        <f>K15*C16*12</f>
        <v>434478.72</v>
      </c>
      <c r="K15" s="36">
        <v>0.4</v>
      </c>
      <c r="L15" s="67">
        <f>J15*0.218/12/D18</f>
        <v>0.4613918325831531</v>
      </c>
    </row>
    <row r="16" spans="1:12" s="77" customFormat="1" ht="13.5" customHeight="1">
      <c r="A16" s="75"/>
      <c r="B16" s="42" t="s">
        <v>15</v>
      </c>
      <c r="C16" s="43">
        <v>90516.4</v>
      </c>
      <c r="D16" s="44">
        <f>4452.2+3651.5+4655.1+2725.3+1622.9</f>
        <v>17107</v>
      </c>
      <c r="E16" s="45">
        <v>86366</v>
      </c>
      <c r="F16" s="45">
        <f>E16*0.782</f>
        <v>67538.212</v>
      </c>
      <c r="G16" s="46">
        <f>F16/C16/11</f>
        <v>0.06783121571942162</v>
      </c>
      <c r="H16" s="46">
        <f>E16*0.218</f>
        <v>18827.788</v>
      </c>
      <c r="I16" s="47">
        <f>H16/D16/11</f>
        <v>0.10005360910206879</v>
      </c>
      <c r="J16" s="76"/>
      <c r="K16" s="46"/>
      <c r="L16" s="56"/>
    </row>
    <row r="17" spans="1:12" s="7" customFormat="1" ht="13.5" customHeight="1">
      <c r="A17" s="41"/>
      <c r="B17" s="60" t="s">
        <v>16</v>
      </c>
      <c r="C17" s="61">
        <v>90516.4</v>
      </c>
      <c r="D17" s="56">
        <f>4452.2+3651.5+4655.1+2725.3+1622.9</f>
        <v>17107</v>
      </c>
      <c r="E17" s="63">
        <v>6484</v>
      </c>
      <c r="F17" s="63">
        <f>E17*0.782</f>
        <v>5070.488</v>
      </c>
      <c r="G17" s="78">
        <f>F17/C17/11</f>
        <v>0.005092485500367388</v>
      </c>
      <c r="H17" s="78">
        <f>E17*0.218</f>
        <v>1413.512</v>
      </c>
      <c r="I17" s="64">
        <f>H17/D17/11</f>
        <v>0.0075116087513351784</v>
      </c>
      <c r="J17" s="79"/>
      <c r="K17" s="46"/>
      <c r="L17" s="56"/>
    </row>
    <row r="18" spans="1:12" s="7" customFormat="1" ht="13.5" customHeight="1">
      <c r="A18" s="41"/>
      <c r="B18" s="60" t="s">
        <v>17</v>
      </c>
      <c r="C18" s="61">
        <v>90516.4</v>
      </c>
      <c r="D18" s="56">
        <f>4452.2+3651.5+4655.1+2725.3+1622.9</f>
        <v>17107</v>
      </c>
      <c r="E18" s="63">
        <v>200000</v>
      </c>
      <c r="F18" s="63">
        <v>200000</v>
      </c>
      <c r="G18" s="78">
        <f>F18/C18/11</f>
        <v>0.20086766797860037</v>
      </c>
      <c r="H18" s="78"/>
      <c r="I18" s="64"/>
      <c r="J18" s="79"/>
      <c r="K18" s="46"/>
      <c r="L18" s="56"/>
    </row>
    <row r="19" spans="1:12" s="7" customFormat="1" ht="13.5" customHeight="1">
      <c r="A19" s="41"/>
      <c r="B19" s="49" t="s">
        <v>18</v>
      </c>
      <c r="C19" s="50">
        <v>90516.4</v>
      </c>
      <c r="D19" s="51">
        <f>4452.2+3651.5+4655.1+2725.3+1622.9</f>
        <v>17107</v>
      </c>
      <c r="E19" s="52">
        <v>332820</v>
      </c>
      <c r="F19" s="52">
        <f>E19*0.782</f>
        <v>260265.24000000002</v>
      </c>
      <c r="G19" s="53">
        <f>F19/C19/11</f>
        <v>0.2613943590734537</v>
      </c>
      <c r="H19" s="53">
        <f>E19*0.218</f>
        <v>72554.76</v>
      </c>
      <c r="I19" s="54">
        <f>H19/D19/11</f>
        <v>0.38556656764641795</v>
      </c>
      <c r="J19" s="79"/>
      <c r="K19" s="46"/>
      <c r="L19" s="56"/>
    </row>
    <row r="20" spans="1:12" s="7" customFormat="1" ht="13.5" customHeight="1">
      <c r="A20" s="41"/>
      <c r="B20" s="33" t="s">
        <v>60</v>
      </c>
      <c r="C20" s="34"/>
      <c r="D20" s="35"/>
      <c r="E20" s="36">
        <f>SUM(E21:E25)</f>
        <v>2797447</v>
      </c>
      <c r="F20" s="36">
        <f>SUM(F21:F25)</f>
        <v>2295045.102</v>
      </c>
      <c r="G20" s="36">
        <f>G21+G23+G24+G25+G22</f>
        <v>2.262995000035487</v>
      </c>
      <c r="H20" s="36">
        <f>SUM(H21:H25)</f>
        <v>502401.89800000004</v>
      </c>
      <c r="I20" s="37">
        <f>SUM(I21:I25)</f>
        <v>3.438036687976391</v>
      </c>
      <c r="J20" s="57">
        <f>K20*C24*12+L20*D24*12</f>
        <v>2685603.5999999996</v>
      </c>
      <c r="K20" s="36">
        <v>2</v>
      </c>
      <c r="L20" s="67">
        <v>2.5</v>
      </c>
    </row>
    <row r="21" spans="1:12" s="7" customFormat="1" ht="13.5" customHeight="1">
      <c r="A21" s="41"/>
      <c r="B21" s="60" t="s">
        <v>19</v>
      </c>
      <c r="C21" s="43">
        <v>90516.4</v>
      </c>
      <c r="D21" s="44"/>
      <c r="E21" s="45">
        <v>401108</v>
      </c>
      <c r="F21" s="45">
        <v>401108</v>
      </c>
      <c r="G21" s="78">
        <f>F21/C21/11</f>
        <v>0.4028481428378022</v>
      </c>
      <c r="H21" s="45"/>
      <c r="I21" s="47"/>
      <c r="J21" s="76"/>
      <c r="K21" s="46"/>
      <c r="L21" s="44"/>
    </row>
    <row r="22" spans="1:12" s="7" customFormat="1" ht="13.5" customHeight="1">
      <c r="A22" s="41"/>
      <c r="B22" s="60" t="s">
        <v>56</v>
      </c>
      <c r="C22" s="61">
        <v>90516.4</v>
      </c>
      <c r="D22" s="56">
        <v>17107</v>
      </c>
      <c r="E22" s="85">
        <v>641821</v>
      </c>
      <c r="F22" s="63">
        <f>E22*0.782</f>
        <v>501904.022</v>
      </c>
      <c r="G22" s="53">
        <f>F22/C22/12</f>
        <v>0.4620746645543423</v>
      </c>
      <c r="H22" s="53">
        <f>E22-F22</f>
        <v>139916.978</v>
      </c>
      <c r="I22" s="54">
        <f>H22/D22/12</f>
        <v>0.6815776095555425</v>
      </c>
      <c r="J22" s="76"/>
      <c r="K22" s="46"/>
      <c r="L22" s="44"/>
    </row>
    <row r="23" spans="1:14" s="7" customFormat="1" ht="13.5" customHeight="1">
      <c r="A23" s="41"/>
      <c r="B23" s="60" t="s">
        <v>20</v>
      </c>
      <c r="C23" s="61">
        <v>90516.4</v>
      </c>
      <c r="D23" s="56"/>
      <c r="E23" s="63">
        <v>15660</v>
      </c>
      <c r="F23" s="63">
        <f>E23*0.782</f>
        <v>12246.12</v>
      </c>
      <c r="G23" s="78">
        <f>F23/C23/11</f>
        <v>0.012299247830930489</v>
      </c>
      <c r="H23" s="78">
        <f>E23-F23</f>
        <v>3413.879999999999</v>
      </c>
      <c r="I23" s="64">
        <v>0.04</v>
      </c>
      <c r="J23" s="76"/>
      <c r="K23" s="46"/>
      <c r="L23" s="44"/>
      <c r="N23" s="7">
        <f>7813000/(6717114*12/11)</f>
        <v>1.0662193118453351</v>
      </c>
    </row>
    <row r="24" spans="1:12" s="7" customFormat="1" ht="13.5" customHeight="1">
      <c r="A24" s="41"/>
      <c r="B24" s="60" t="s">
        <v>21</v>
      </c>
      <c r="C24" s="61">
        <v>90516.4</v>
      </c>
      <c r="D24" s="56">
        <v>17107</v>
      </c>
      <c r="E24" s="63">
        <v>200000</v>
      </c>
      <c r="F24" s="63">
        <f>E24*0.782</f>
        <v>156400</v>
      </c>
      <c r="G24" s="78">
        <f>F24/C24/11</f>
        <v>0.1570785163592655</v>
      </c>
      <c r="H24" s="78">
        <f>E24-F24</f>
        <v>43600</v>
      </c>
      <c r="I24" s="64">
        <v>1.04</v>
      </c>
      <c r="J24" s="76"/>
      <c r="K24" s="46"/>
      <c r="L24" s="44"/>
    </row>
    <row r="25" spans="1:12" s="7" customFormat="1" ht="13.5" customHeight="1">
      <c r="A25" s="41"/>
      <c r="B25" s="42" t="s">
        <v>22</v>
      </c>
      <c r="C25" s="43">
        <v>90516.4</v>
      </c>
      <c r="D25" s="44">
        <v>17107</v>
      </c>
      <c r="E25" s="45">
        <v>1538858</v>
      </c>
      <c r="F25" s="45">
        <v>1223386.96</v>
      </c>
      <c r="G25" s="78">
        <f>F25/C25/11</f>
        <v>1.2286944284531462</v>
      </c>
      <c r="H25" s="45">
        <f>E25-F25</f>
        <v>315471.04000000004</v>
      </c>
      <c r="I25" s="47">
        <f>H25/D25/11</f>
        <v>1.6764590784208486</v>
      </c>
      <c r="J25" s="76"/>
      <c r="K25" s="46"/>
      <c r="L25" s="44"/>
    </row>
    <row r="26" spans="1:12" s="7" customFormat="1" ht="13.5" customHeight="1">
      <c r="A26" s="41"/>
      <c r="B26" s="33" t="s">
        <v>61</v>
      </c>
      <c r="C26" s="80"/>
      <c r="D26" s="67"/>
      <c r="E26" s="36">
        <f>SUM(E27:E45)</f>
        <v>2324022</v>
      </c>
      <c r="F26" s="36">
        <f>SUM(F27:F45)</f>
        <v>1844451.43</v>
      </c>
      <c r="G26" s="36">
        <f>SUM(G27:G45)</f>
        <v>1.8398803973644555</v>
      </c>
      <c r="H26" s="36">
        <f>SUM(H27:H45)</f>
        <v>479570.57</v>
      </c>
      <c r="I26" s="36">
        <f>SUM(I27:I45)</f>
        <v>2.7811878178523415</v>
      </c>
      <c r="J26" s="81">
        <f>(C28+D28)*K26*12</f>
        <v>2298835.824</v>
      </c>
      <c r="K26" s="37">
        <v>1.78</v>
      </c>
      <c r="L26" s="67">
        <v>1.9500000000000002</v>
      </c>
    </row>
    <row r="27" spans="1:12" s="7" customFormat="1" ht="13.5" customHeight="1">
      <c r="A27" s="41"/>
      <c r="B27" s="42" t="s">
        <v>23</v>
      </c>
      <c r="C27" s="43">
        <v>90516.4</v>
      </c>
      <c r="D27" s="44">
        <f aca="true" t="shared" si="0" ref="D27:D36">4452.2+3651.5+4655.1+2725.3+1622.9</f>
        <v>17107</v>
      </c>
      <c r="E27" s="45">
        <v>504994</v>
      </c>
      <c r="F27" s="45">
        <f>E27*0.782</f>
        <v>394905.308</v>
      </c>
      <c r="G27" s="82">
        <f aca="true" t="shared" si="1" ref="G27:G33">F27/C27/11</f>
        <v>0.39661854145165465</v>
      </c>
      <c r="H27" s="46">
        <f>E27*0.218</f>
        <v>110088.692</v>
      </c>
      <c r="I27" s="47">
        <f>H27/D27/11</f>
        <v>0.585027351908044</v>
      </c>
      <c r="J27" s="76"/>
      <c r="K27" s="46"/>
      <c r="L27" s="44"/>
    </row>
    <row r="28" spans="1:12" s="7" customFormat="1" ht="13.5" customHeight="1">
      <c r="A28" s="41"/>
      <c r="B28" s="60" t="s">
        <v>24</v>
      </c>
      <c r="C28" s="61">
        <v>90516.4</v>
      </c>
      <c r="D28" s="56">
        <f t="shared" si="0"/>
        <v>17107</v>
      </c>
      <c r="E28" s="63">
        <v>32000</v>
      </c>
      <c r="F28" s="63">
        <f>E28*0.782</f>
        <v>25024</v>
      </c>
      <c r="G28" s="83">
        <f t="shared" si="1"/>
        <v>0.02513256261748248</v>
      </c>
      <c r="H28" s="78">
        <f>E28*0.218</f>
        <v>6976</v>
      </c>
      <c r="I28" s="64">
        <f>H28/D28/11</f>
        <v>0.03707148057414031</v>
      </c>
      <c r="J28" s="79"/>
      <c r="K28" s="46"/>
      <c r="L28" s="44"/>
    </row>
    <row r="29" spans="1:12" s="7" customFormat="1" ht="13.5" customHeight="1">
      <c r="A29" s="41"/>
      <c r="B29" s="60" t="s">
        <v>25</v>
      </c>
      <c r="C29" s="61">
        <v>90516.4</v>
      </c>
      <c r="D29" s="56">
        <f t="shared" si="0"/>
        <v>17107</v>
      </c>
      <c r="E29" s="63">
        <v>105874</v>
      </c>
      <c r="F29" s="63">
        <f>E29*0.782</f>
        <v>82793.46800000001</v>
      </c>
      <c r="G29" s="83">
        <f t="shared" si="1"/>
        <v>0.08315265420510438</v>
      </c>
      <c r="H29" s="78">
        <f>E29*0.218</f>
        <v>23080.532</v>
      </c>
      <c r="I29" s="64">
        <f>H29/D29/11</f>
        <v>0.12265331044707907</v>
      </c>
      <c r="J29" s="79"/>
      <c r="K29" s="46"/>
      <c r="L29" s="44"/>
    </row>
    <row r="30" spans="1:12" s="7" customFormat="1" ht="13.5" customHeight="1">
      <c r="A30" s="41"/>
      <c r="B30" s="60" t="s">
        <v>26</v>
      </c>
      <c r="C30" s="61">
        <v>90516.4</v>
      </c>
      <c r="D30" s="56">
        <f t="shared" si="0"/>
        <v>17107</v>
      </c>
      <c r="E30" s="63">
        <v>12725</v>
      </c>
      <c r="F30" s="63">
        <f>E30*0.782</f>
        <v>9950.95</v>
      </c>
      <c r="G30" s="83">
        <f t="shared" si="1"/>
        <v>0.009994120603358268</v>
      </c>
      <c r="H30" s="78">
        <f>E30*0.218</f>
        <v>2774.05</v>
      </c>
      <c r="I30" s="64">
        <f>H30/D30/11</f>
        <v>0.014741705947060481</v>
      </c>
      <c r="J30" s="79"/>
      <c r="K30" s="46"/>
      <c r="L30" s="44"/>
    </row>
    <row r="31" spans="1:12" s="7" customFormat="1" ht="13.5" customHeight="1">
      <c r="A31" s="41"/>
      <c r="B31" s="60" t="s">
        <v>27</v>
      </c>
      <c r="C31" s="61">
        <f>C30</f>
        <v>90516.4</v>
      </c>
      <c r="D31" s="56"/>
      <c r="E31" s="63">
        <v>4931</v>
      </c>
      <c r="F31" s="63">
        <f>E31</f>
        <v>4931</v>
      </c>
      <c r="G31" s="83">
        <f t="shared" si="1"/>
        <v>0.004952392354012392</v>
      </c>
      <c r="H31" s="78"/>
      <c r="I31" s="64"/>
      <c r="J31" s="79"/>
      <c r="K31" s="46"/>
      <c r="L31" s="44"/>
    </row>
    <row r="32" spans="1:12" s="7" customFormat="1" ht="13.5" customHeight="1">
      <c r="A32" s="41"/>
      <c r="B32" s="60" t="s">
        <v>28</v>
      </c>
      <c r="C32" s="61">
        <f>C31</f>
        <v>90516.4</v>
      </c>
      <c r="D32" s="56">
        <f t="shared" si="0"/>
        <v>17107</v>
      </c>
      <c r="E32" s="63">
        <v>20514</v>
      </c>
      <c r="F32" s="63">
        <f>E32*0.782</f>
        <v>16041.948</v>
      </c>
      <c r="G32" s="83">
        <f t="shared" si="1"/>
        <v>0.016111543422969863</v>
      </c>
      <c r="H32" s="78">
        <f>E32*0.218</f>
        <v>4472.052</v>
      </c>
      <c r="I32" s="64">
        <f>H32/D32/11</f>
        <v>0.023765136015559817</v>
      </c>
      <c r="J32" s="79"/>
      <c r="K32" s="46"/>
      <c r="L32" s="44"/>
    </row>
    <row r="33" spans="1:12" s="7" customFormat="1" ht="13.5" customHeight="1">
      <c r="A33" s="41"/>
      <c r="B33" s="60" t="s">
        <v>29</v>
      </c>
      <c r="C33" s="61">
        <f>C32</f>
        <v>90516.4</v>
      </c>
      <c r="D33" s="56">
        <f t="shared" si="0"/>
        <v>17107</v>
      </c>
      <c r="E33" s="63">
        <f>25918+9558</f>
        <v>35476</v>
      </c>
      <c r="F33" s="63">
        <f>E33*0.782</f>
        <v>27742.232</v>
      </c>
      <c r="G33" s="83">
        <f t="shared" si="1"/>
        <v>0.027862587231806513</v>
      </c>
      <c r="H33" s="78">
        <f>E33*0.218</f>
        <v>7733.768</v>
      </c>
      <c r="I33" s="64">
        <f>H33/D33/11</f>
        <v>0.041098370151506296</v>
      </c>
      <c r="J33" s="79"/>
      <c r="K33" s="46"/>
      <c r="L33" s="44"/>
    </row>
    <row r="34" spans="1:12" s="7" customFormat="1" ht="13.5" customHeight="1">
      <c r="A34" s="41"/>
      <c r="B34" s="60" t="s">
        <v>30</v>
      </c>
      <c r="C34" s="61">
        <v>90516.4</v>
      </c>
      <c r="D34" s="56">
        <v>17107</v>
      </c>
      <c r="E34" s="63">
        <v>44000</v>
      </c>
      <c r="F34" s="63">
        <v>34408</v>
      </c>
      <c r="G34" s="83">
        <v>0.03</v>
      </c>
      <c r="H34" s="78">
        <v>9592</v>
      </c>
      <c r="I34" s="64">
        <v>0.05</v>
      </c>
      <c r="J34" s="79"/>
      <c r="K34" s="46"/>
      <c r="L34" s="44"/>
    </row>
    <row r="35" spans="1:12" s="7" customFormat="1" ht="13.5" customHeight="1">
      <c r="A35" s="41"/>
      <c r="B35" s="60" t="s">
        <v>31</v>
      </c>
      <c r="C35" s="61">
        <f>C33</f>
        <v>90516.4</v>
      </c>
      <c r="D35" s="56">
        <f t="shared" si="0"/>
        <v>17107</v>
      </c>
      <c r="E35" s="63">
        <v>9500</v>
      </c>
      <c r="F35" s="63">
        <f>E35*0.782</f>
        <v>7429</v>
      </c>
      <c r="G35" s="83">
        <f>F35/C35/11</f>
        <v>0.007461229527065111</v>
      </c>
      <c r="H35" s="78">
        <f>E35*0.218</f>
        <v>2071</v>
      </c>
      <c r="I35" s="64">
        <f>H35/D35/11</f>
        <v>0.011005595795447902</v>
      </c>
      <c r="J35" s="79"/>
      <c r="K35" s="46"/>
      <c r="L35" s="44"/>
    </row>
    <row r="36" spans="1:12" s="7" customFormat="1" ht="13.5" customHeight="1">
      <c r="A36" s="41"/>
      <c r="B36" s="60" t="s">
        <v>32</v>
      </c>
      <c r="C36" s="61">
        <f>C35</f>
        <v>90516.4</v>
      </c>
      <c r="D36" s="56">
        <f t="shared" si="0"/>
        <v>17107</v>
      </c>
      <c r="E36" s="63">
        <v>5313</v>
      </c>
      <c r="F36" s="63">
        <f>E36*0.782</f>
        <v>4154.7660000000005</v>
      </c>
      <c r="G36" s="83">
        <f>F36/C36/11</f>
        <v>0.004172790787083888</v>
      </c>
      <c r="H36" s="78">
        <f>E36*0.218</f>
        <v>1158.234</v>
      </c>
      <c r="I36" s="64">
        <f>H36/D36/11</f>
        <v>0.006155024259075232</v>
      </c>
      <c r="J36" s="79"/>
      <c r="K36" s="46"/>
      <c r="L36" s="44"/>
    </row>
    <row r="37" spans="1:12" s="7" customFormat="1" ht="13.5" customHeight="1">
      <c r="A37" s="41"/>
      <c r="B37" s="60" t="s">
        <v>33</v>
      </c>
      <c r="C37" s="61">
        <f>C36</f>
        <v>90516.4</v>
      </c>
      <c r="D37" s="56"/>
      <c r="E37" s="63">
        <v>1210</v>
      </c>
      <c r="F37" s="63">
        <v>1210</v>
      </c>
      <c r="G37" s="83">
        <f>F37/C37/11</f>
        <v>0.0012152493912705323</v>
      </c>
      <c r="H37" s="78"/>
      <c r="I37" s="64"/>
      <c r="J37" s="79"/>
      <c r="K37" s="46"/>
      <c r="L37" s="44"/>
    </row>
    <row r="38" spans="1:12" s="7" customFormat="1" ht="13.5" customHeight="1">
      <c r="A38" s="41"/>
      <c r="B38" s="60" t="s">
        <v>34</v>
      </c>
      <c r="C38" s="61">
        <v>90516.4</v>
      </c>
      <c r="D38" s="56"/>
      <c r="E38" s="63">
        <v>12353</v>
      </c>
      <c r="F38" s="63">
        <f>E38</f>
        <v>12353</v>
      </c>
      <c r="G38" s="83">
        <f>F38/C38/11</f>
        <v>0.012406591512698252</v>
      </c>
      <c r="H38" s="78"/>
      <c r="I38" s="64"/>
      <c r="J38" s="79"/>
      <c r="K38" s="46"/>
      <c r="L38" s="44"/>
    </row>
    <row r="39" spans="1:12" s="7" customFormat="1" ht="13.5" customHeight="1">
      <c r="A39" s="41"/>
      <c r="B39" s="60" t="s">
        <v>35</v>
      </c>
      <c r="C39" s="61">
        <v>90516.4</v>
      </c>
      <c r="D39" s="56">
        <v>17107</v>
      </c>
      <c r="E39" s="63">
        <v>17909</v>
      </c>
      <c r="F39" s="63">
        <v>14004.84</v>
      </c>
      <c r="G39" s="83">
        <v>0.01</v>
      </c>
      <c r="H39" s="78">
        <v>3904.16</v>
      </c>
      <c r="I39" s="64">
        <v>0.02</v>
      </c>
      <c r="J39" s="79"/>
      <c r="K39" s="46"/>
      <c r="L39" s="44"/>
    </row>
    <row r="40" spans="1:12" s="7" customFormat="1" ht="13.5" customHeight="1">
      <c r="A40" s="121"/>
      <c r="B40" s="122" t="s">
        <v>36</v>
      </c>
      <c r="C40" s="123">
        <f>C38</f>
        <v>90516.4</v>
      </c>
      <c r="D40" s="124"/>
      <c r="E40" s="125">
        <v>24464</v>
      </c>
      <c r="F40" s="125">
        <f>E40</f>
        <v>24464</v>
      </c>
      <c r="G40" s="126">
        <f>F40/C40/11</f>
        <v>0.0245701331471424</v>
      </c>
      <c r="H40" s="127"/>
      <c r="I40" s="128"/>
      <c r="J40" s="129"/>
      <c r="K40" s="127"/>
      <c r="L40" s="124"/>
    </row>
    <row r="41" spans="1:12" s="7" customFormat="1" ht="13.5" customHeight="1">
      <c r="A41" s="41"/>
      <c r="B41" s="60" t="s">
        <v>37</v>
      </c>
      <c r="C41" s="61">
        <f>C40</f>
        <v>90516.4</v>
      </c>
      <c r="D41" s="56"/>
      <c r="E41" s="63">
        <v>41199</v>
      </c>
      <c r="F41" s="63">
        <f>E41</f>
        <v>41199</v>
      </c>
      <c r="G41" s="83">
        <f>F41/C41/11</f>
        <v>0.041377735265251785</v>
      </c>
      <c r="H41" s="63"/>
      <c r="I41" s="64"/>
      <c r="J41" s="79"/>
      <c r="K41" s="46"/>
      <c r="L41" s="84"/>
    </row>
    <row r="42" spans="1:12" s="7" customFormat="1" ht="13.5" customHeight="1">
      <c r="A42" s="41"/>
      <c r="B42" s="60" t="s">
        <v>38</v>
      </c>
      <c r="C42" s="61">
        <v>90516.4</v>
      </c>
      <c r="D42" s="56">
        <f>4452.2+3651.5+4655.1+2725.3+1622.9</f>
        <v>17107</v>
      </c>
      <c r="E42" s="85">
        <v>218543</v>
      </c>
      <c r="F42" s="63">
        <f>E42*0.782</f>
        <v>170900.62600000002</v>
      </c>
      <c r="G42" s="83">
        <f>F42/C42/11</f>
        <v>0.17164205100351482</v>
      </c>
      <c r="H42" s="78">
        <f>E42*0.218</f>
        <v>47642.374</v>
      </c>
      <c r="I42" s="64">
        <f>H42/D42/11</f>
        <v>0.2531785180973233</v>
      </c>
      <c r="J42" s="79"/>
      <c r="K42" s="46"/>
      <c r="L42" s="84"/>
    </row>
    <row r="43" spans="1:12" s="7" customFormat="1" ht="13.5" customHeight="1">
      <c r="A43" s="41"/>
      <c r="B43" s="60" t="s">
        <v>39</v>
      </c>
      <c r="C43" s="61">
        <v>90516.4</v>
      </c>
      <c r="D43" s="56">
        <f>4452.2+3651.5+4655.1+2725.3+1622.9</f>
        <v>17107</v>
      </c>
      <c r="E43" s="63">
        <f>69500+341806</f>
        <v>411306</v>
      </c>
      <c r="F43" s="63">
        <f>E43*0.782</f>
        <v>321641.292</v>
      </c>
      <c r="G43" s="83">
        <f>F43/C43/11</f>
        <v>0.3230366812483203</v>
      </c>
      <c r="H43" s="78">
        <f>E43*0.218</f>
        <v>89664.708</v>
      </c>
      <c r="I43" s="64">
        <f>H43/D43/11</f>
        <v>0.47649132465710475</v>
      </c>
      <c r="J43" s="79"/>
      <c r="K43" s="46"/>
      <c r="L43" s="84"/>
    </row>
    <row r="44" spans="1:12" s="7" customFormat="1" ht="13.5" customHeight="1">
      <c r="A44" s="41"/>
      <c r="B44" s="49" t="s">
        <v>40</v>
      </c>
      <c r="C44" s="61">
        <f>C41</f>
        <v>90516.4</v>
      </c>
      <c r="D44" s="51"/>
      <c r="E44" s="52">
        <v>40000</v>
      </c>
      <c r="F44" s="52">
        <f>E44</f>
        <v>40000</v>
      </c>
      <c r="G44" s="86">
        <f>F44/C44/11</f>
        <v>0.040173533595720075</v>
      </c>
      <c r="H44" s="52"/>
      <c r="I44" s="54"/>
      <c r="J44" s="87"/>
      <c r="K44" s="88"/>
      <c r="L44" s="89"/>
    </row>
    <row r="45" spans="1:12" s="7" customFormat="1" ht="13.5" customHeight="1">
      <c r="A45" s="41"/>
      <c r="B45" s="90" t="s">
        <v>41</v>
      </c>
      <c r="C45" s="50">
        <v>90516.4</v>
      </c>
      <c r="D45" s="51">
        <v>17107</v>
      </c>
      <c r="E45" s="52">
        <v>781711</v>
      </c>
      <c r="F45" s="52">
        <v>611298</v>
      </c>
      <c r="G45" s="86">
        <v>0.61</v>
      </c>
      <c r="H45" s="53">
        <f>E45-F45</f>
        <v>170413</v>
      </c>
      <c r="I45" s="54">
        <v>1.1400000000000001</v>
      </c>
      <c r="J45" s="79"/>
      <c r="K45" s="46"/>
      <c r="L45" s="56"/>
    </row>
    <row r="46" spans="1:12" s="7" customFormat="1" ht="13.5" customHeight="1">
      <c r="A46" s="41"/>
      <c r="B46" s="91" t="s">
        <v>42</v>
      </c>
      <c r="C46" s="61"/>
      <c r="D46" s="62"/>
      <c r="E46" s="63"/>
      <c r="F46" s="63"/>
      <c r="G46" s="63"/>
      <c r="H46" s="63"/>
      <c r="I46" s="64"/>
      <c r="J46" s="79"/>
      <c r="K46" s="46"/>
      <c r="L46" s="56"/>
    </row>
    <row r="47" spans="1:12" s="7" customFormat="1" ht="13.5" customHeight="1">
      <c r="A47" s="41"/>
      <c r="B47" s="92" t="s">
        <v>43</v>
      </c>
      <c r="C47" s="93">
        <f>C45</f>
        <v>90516.4</v>
      </c>
      <c r="D47" s="94">
        <f aca="true" t="shared" si="2" ref="D47:D52">4452.2+3651.5+4655.1+2725.3+1622.9</f>
        <v>17107</v>
      </c>
      <c r="E47" s="95">
        <f>87640+104265+4400+24032+7722+41577</f>
        <v>269636</v>
      </c>
      <c r="F47" s="95">
        <f aca="true" t="shared" si="3" ref="F47:F52">E47*0.782</f>
        <v>210855.352</v>
      </c>
      <c r="G47" s="96">
        <f aca="true" t="shared" si="4" ref="G47:G52">F47/C47/11</f>
        <v>0.2117701141852346</v>
      </c>
      <c r="H47" s="96">
        <f aca="true" t="shared" si="5" ref="H47:H52">E47*0.218</f>
        <v>58780.648</v>
      </c>
      <c r="I47" s="97">
        <f aca="true" t="shared" si="6" ref="I47:I52">H47/D47/11</f>
        <v>0.312368929252778</v>
      </c>
      <c r="J47" s="79"/>
      <c r="K47" s="46"/>
      <c r="L47" s="56"/>
    </row>
    <row r="48" spans="1:12" s="7" customFormat="1" ht="13.5" customHeight="1">
      <c r="A48" s="41"/>
      <c r="B48" s="98" t="s">
        <v>44</v>
      </c>
      <c r="C48" s="93">
        <v>90516.4</v>
      </c>
      <c r="D48" s="99">
        <f t="shared" si="2"/>
        <v>17107</v>
      </c>
      <c r="E48" s="100">
        <v>70386</v>
      </c>
      <c r="F48" s="100">
        <f t="shared" si="3"/>
        <v>55041.852</v>
      </c>
      <c r="G48" s="101">
        <f t="shared" si="4"/>
        <v>0.055280642262316305</v>
      </c>
      <c r="H48" s="101">
        <f t="shared" si="5"/>
        <v>15344.148</v>
      </c>
      <c r="I48" s="102">
        <f t="shared" si="6"/>
        <v>0.08154103849035749</v>
      </c>
      <c r="J48" s="79"/>
      <c r="K48" s="46"/>
      <c r="L48" s="56"/>
    </row>
    <row r="49" spans="1:12" s="7" customFormat="1" ht="13.5" customHeight="1">
      <c r="A49" s="41"/>
      <c r="B49" s="98" t="s">
        <v>45</v>
      </c>
      <c r="C49" s="93">
        <f>C47</f>
        <v>90516.4</v>
      </c>
      <c r="D49" s="99">
        <f t="shared" si="2"/>
        <v>17107</v>
      </c>
      <c r="E49" s="100">
        <v>12441</v>
      </c>
      <c r="F49" s="100">
        <f t="shared" si="3"/>
        <v>9728.862000000001</v>
      </c>
      <c r="G49" s="101">
        <f t="shared" si="4"/>
        <v>0.00977106911012811</v>
      </c>
      <c r="H49" s="101">
        <f t="shared" si="5"/>
        <v>2712.138</v>
      </c>
      <c r="I49" s="102">
        <f t="shared" si="6"/>
        <v>0.014412696556964984</v>
      </c>
      <c r="J49" s="79"/>
      <c r="K49" s="46"/>
      <c r="L49" s="56"/>
    </row>
    <row r="50" spans="1:12" s="7" customFormat="1" ht="13.5" customHeight="1">
      <c r="A50" s="41"/>
      <c r="B50" s="98" t="s">
        <v>46</v>
      </c>
      <c r="C50" s="93">
        <f>C48</f>
        <v>90516.4</v>
      </c>
      <c r="D50" s="99">
        <f t="shared" si="2"/>
        <v>17107</v>
      </c>
      <c r="E50" s="100">
        <v>50700</v>
      </c>
      <c r="F50" s="100">
        <f t="shared" si="3"/>
        <v>39647.4</v>
      </c>
      <c r="G50" s="101">
        <f t="shared" si="4"/>
        <v>0.03981940389707381</v>
      </c>
      <c r="H50" s="101">
        <f t="shared" si="5"/>
        <v>11052.6</v>
      </c>
      <c r="I50" s="102">
        <f t="shared" si="6"/>
        <v>0.05873512703465355</v>
      </c>
      <c r="J50" s="79"/>
      <c r="K50" s="46"/>
      <c r="L50" s="56"/>
    </row>
    <row r="51" spans="1:12" s="7" customFormat="1" ht="13.5" customHeight="1">
      <c r="A51" s="41"/>
      <c r="B51" s="98" t="s">
        <v>47</v>
      </c>
      <c r="C51" s="103">
        <v>90516.4</v>
      </c>
      <c r="D51" s="99">
        <f t="shared" si="2"/>
        <v>17107</v>
      </c>
      <c r="E51" s="100">
        <v>61648</v>
      </c>
      <c r="F51" s="100">
        <f t="shared" si="3"/>
        <v>48208.736000000004</v>
      </c>
      <c r="G51" s="101">
        <f t="shared" si="4"/>
        <v>0.048417881882580005</v>
      </c>
      <c r="H51" s="101">
        <f t="shared" si="5"/>
        <v>13439.264</v>
      </c>
      <c r="I51" s="102">
        <f t="shared" si="6"/>
        <v>0.0714182073260813</v>
      </c>
      <c r="J51" s="79"/>
      <c r="K51" s="46"/>
      <c r="L51" s="56"/>
    </row>
    <row r="52" spans="1:12" s="7" customFormat="1" ht="13.5" customHeight="1">
      <c r="A52" s="41"/>
      <c r="B52" s="104" t="s">
        <v>48</v>
      </c>
      <c r="C52" s="103">
        <v>90516.4</v>
      </c>
      <c r="D52" s="99">
        <f t="shared" si="2"/>
        <v>17107</v>
      </c>
      <c r="E52" s="100">
        <v>316900</v>
      </c>
      <c r="F52" s="100">
        <f t="shared" si="3"/>
        <v>247815.80000000002</v>
      </c>
      <c r="G52" s="101">
        <f t="shared" si="4"/>
        <v>0.24889090917125617</v>
      </c>
      <c r="H52" s="101">
        <f t="shared" si="5"/>
        <v>69084.2</v>
      </c>
      <c r="I52" s="102">
        <f t="shared" si="6"/>
        <v>0.36712350606078314</v>
      </c>
      <c r="J52" s="79"/>
      <c r="K52" s="46"/>
      <c r="L52" s="56"/>
    </row>
    <row r="53" spans="1:12" s="31" customFormat="1" ht="13.5" customHeight="1">
      <c r="A53" s="23"/>
      <c r="B53" s="105" t="s">
        <v>49</v>
      </c>
      <c r="C53" s="25"/>
      <c r="D53" s="26"/>
      <c r="E53" s="27">
        <f>E26+E20+E15+E13+E11+E8</f>
        <v>13976002</v>
      </c>
      <c r="F53" s="27">
        <f>F26+F20+F15+F13+F11+F8</f>
        <v>10924527.682</v>
      </c>
      <c r="G53" s="27">
        <f>G26+G20+G15+G13+G11+G8</f>
        <v>10.925583041338701</v>
      </c>
      <c r="H53" s="27">
        <f>H26+H20+H15+H13+H11+H8</f>
        <v>3051474.318</v>
      </c>
      <c r="I53" s="27">
        <f>I26+I20+I15+I11+I8</f>
        <v>14.576902914986068</v>
      </c>
      <c r="J53" s="106">
        <f>J26+J20+J15+J13+J11+J8</f>
        <v>14290618.144</v>
      </c>
      <c r="K53" s="27">
        <f>K26+K20+K15+K13+K11+K8</f>
        <v>10.761575751281907</v>
      </c>
      <c r="L53" s="30">
        <f>L26+L20+L15+L11+L8</f>
        <v>13.291930988094542</v>
      </c>
    </row>
    <row r="54" spans="1:12" s="7" customFormat="1" ht="12.75" customHeight="1">
      <c r="A54" s="107"/>
      <c r="B54" s="42"/>
      <c r="C54" s="43"/>
      <c r="D54" s="44"/>
      <c r="E54" s="45"/>
      <c r="F54" s="45"/>
      <c r="G54" s="46"/>
      <c r="H54" s="46"/>
      <c r="I54" s="47"/>
      <c r="J54" s="76"/>
      <c r="K54" s="46"/>
      <c r="L54" s="108"/>
    </row>
    <row r="55" spans="1:12" s="7" customFormat="1" ht="12.75" customHeight="1">
      <c r="A55" s="107"/>
      <c r="B55" s="109" t="s">
        <v>50</v>
      </c>
      <c r="C55" s="43"/>
      <c r="D55" s="44"/>
      <c r="E55" s="110">
        <v>1883728</v>
      </c>
      <c r="F55" s="45"/>
      <c r="G55" s="46"/>
      <c r="H55" s="46"/>
      <c r="I55" s="47"/>
      <c r="J55" s="111">
        <v>2292900</v>
      </c>
      <c r="K55" s="46"/>
      <c r="L55" s="108"/>
    </row>
    <row r="56" spans="1:13" s="7" customFormat="1" ht="12.75" customHeight="1">
      <c r="A56" s="107"/>
      <c r="B56" s="60" t="s">
        <v>51</v>
      </c>
      <c r="C56" s="61">
        <v>19328.6</v>
      </c>
      <c r="D56" s="62">
        <v>7</v>
      </c>
      <c r="E56"/>
      <c r="F56" s="63">
        <f>(E55/11/49)*D56</f>
        <v>24464</v>
      </c>
      <c r="G56" s="72">
        <f>F56/C56</f>
        <v>1.2656891859731176</v>
      </c>
      <c r="H56" s="112">
        <f>G53+G56</f>
        <v>12.191272227311819</v>
      </c>
      <c r="I56" s="113"/>
      <c r="J56" s="76">
        <f>J55/12/49*D56</f>
        <v>27296.428571428572</v>
      </c>
      <c r="K56" s="114">
        <f>J56/C56</f>
        <v>1.4122299893126546</v>
      </c>
      <c r="L56" s="115">
        <f>K53+K56</f>
        <v>12.173805740594561</v>
      </c>
      <c r="M56" s="140">
        <f>L56-H56</f>
        <v>-0.017466486717257368</v>
      </c>
    </row>
    <row r="57" spans="1:13" s="7" customFormat="1" ht="12.75" customHeight="1">
      <c r="A57" s="107"/>
      <c r="B57" s="60" t="s">
        <v>52</v>
      </c>
      <c r="C57" s="61">
        <v>17824.7</v>
      </c>
      <c r="D57" s="62">
        <v>6</v>
      </c>
      <c r="E57" s="63"/>
      <c r="F57" s="63">
        <f>(E55/11/49)*D57</f>
        <v>20969.142857142855</v>
      </c>
      <c r="G57" s="72">
        <f>F57/C57</f>
        <v>1.1764093004169975</v>
      </c>
      <c r="H57" s="112">
        <f>G53+G57</f>
        <v>12.101992341755698</v>
      </c>
      <c r="I57" s="113"/>
      <c r="J57" s="76">
        <f>J55/12/49*D57</f>
        <v>23396.938775510203</v>
      </c>
      <c r="K57" s="114">
        <f>J57/C57</f>
        <v>1.3126133273216494</v>
      </c>
      <c r="L57" s="115">
        <f>K57+K53</f>
        <v>12.074189078603556</v>
      </c>
      <c r="M57" s="140">
        <f>L57-H57</f>
        <v>-0.02780326315214232</v>
      </c>
    </row>
    <row r="58" spans="1:13" s="7" customFormat="1" ht="12.75" customHeight="1">
      <c r="A58" s="107"/>
      <c r="B58" s="60" t="s">
        <v>53</v>
      </c>
      <c r="C58" s="61">
        <v>20878.4</v>
      </c>
      <c r="D58" s="62">
        <f>2*7</f>
        <v>14</v>
      </c>
      <c r="E58" s="63"/>
      <c r="F58" s="63">
        <f>(E55/11/49)*D58</f>
        <v>48928</v>
      </c>
      <c r="G58" s="72">
        <f>F58/C58</f>
        <v>2.3434745957544636</v>
      </c>
      <c r="H58" s="112">
        <f>G53+G58</f>
        <v>13.269057637093164</v>
      </c>
      <c r="I58" s="113"/>
      <c r="J58" s="76">
        <f>J55/12/49*D58</f>
        <v>54592.857142857145</v>
      </c>
      <c r="K58" s="114">
        <f>J58/C58</f>
        <v>2.6148008057541356</v>
      </c>
      <c r="L58" s="115">
        <f>K58+K53</f>
        <v>13.376376557036043</v>
      </c>
      <c r="M58" s="140">
        <f>L58-H58</f>
        <v>0.10731891994287857</v>
      </c>
    </row>
    <row r="59" spans="1:13" s="7" customFormat="1" ht="12.75" customHeight="1">
      <c r="A59" s="107"/>
      <c r="B59" s="60" t="s">
        <v>54</v>
      </c>
      <c r="C59" s="61">
        <v>14838.1</v>
      </c>
      <c r="D59" s="62">
        <f>2*5</f>
        <v>10</v>
      </c>
      <c r="E59" s="63"/>
      <c r="F59" s="63">
        <f>(E55/11/49)*D59</f>
        <v>34948.57142857143</v>
      </c>
      <c r="G59" s="72">
        <f>F59/C59</f>
        <v>2.355326586865665</v>
      </c>
      <c r="H59" s="112">
        <f>G53+G59</f>
        <v>13.280909628204366</v>
      </c>
      <c r="I59" s="113"/>
      <c r="J59" s="76">
        <f>J55/12/49*D59</f>
        <v>38994.89795918367</v>
      </c>
      <c r="K59" s="114">
        <f>J59/C59</f>
        <v>2.6280250139292542</v>
      </c>
      <c r="L59" s="115">
        <f>K59+K53</f>
        <v>13.38960076521116</v>
      </c>
      <c r="M59" s="140">
        <f>L59-H59</f>
        <v>0.10869113700679378</v>
      </c>
    </row>
    <row r="60" spans="1:13" s="7" customFormat="1" ht="12.75" customHeight="1">
      <c r="A60" s="107"/>
      <c r="B60" s="116" t="s">
        <v>55</v>
      </c>
      <c r="C60" s="50">
        <v>17646.6</v>
      </c>
      <c r="D60" s="117">
        <f>2*6</f>
        <v>12</v>
      </c>
      <c r="E60" s="52"/>
      <c r="F60" s="52">
        <f>(E55/11/49)*D60</f>
        <v>41938.28571428571</v>
      </c>
      <c r="G60" s="118">
        <f>F60/C60</f>
        <v>2.3765646478237006</v>
      </c>
      <c r="H60" s="112">
        <f>G53+G60</f>
        <v>13.302147689162402</v>
      </c>
      <c r="I60" s="119"/>
      <c r="J60" s="76">
        <f>J55/12/49*12</f>
        <v>46793.87755102041</v>
      </c>
      <c r="K60" s="114">
        <f>J60/C60</f>
        <v>2.6517220059966458</v>
      </c>
      <c r="L60" s="115">
        <f>K53+K60</f>
        <v>13.413297757278553</v>
      </c>
      <c r="M60" s="140">
        <f>L60-H60</f>
        <v>0.11115006811615125</v>
      </c>
    </row>
    <row r="61" spans="1:12" s="7" customFormat="1" ht="12.75" customHeight="1">
      <c r="A61" s="130"/>
      <c r="B61" s="120"/>
      <c r="C61" s="131"/>
      <c r="D61" s="21"/>
      <c r="E61" s="132"/>
      <c r="F61" s="132"/>
      <c r="G61" s="133"/>
      <c r="H61" s="134"/>
      <c r="I61" s="22"/>
      <c r="J61" s="135"/>
      <c r="K61" s="136"/>
      <c r="L61" s="137"/>
    </row>
    <row r="64" ht="14.25">
      <c r="B64" s="2" t="s">
        <v>62</v>
      </c>
    </row>
  </sheetData>
  <sheetProtection selectLockedCells="1" selectUnlockedCells="1"/>
  <mergeCells count="10">
    <mergeCell ref="J5:J6"/>
    <mergeCell ref="B2:K2"/>
    <mergeCell ref="A4:A5"/>
    <mergeCell ref="B4:B5"/>
    <mergeCell ref="C4:D4"/>
    <mergeCell ref="E4:I4"/>
    <mergeCell ref="J4:L4"/>
    <mergeCell ref="E5:E6"/>
    <mergeCell ref="F5:G5"/>
    <mergeCell ref="H5:I5"/>
  </mergeCells>
  <printOptions/>
  <pageMargins left="0.29305555555555557" right="0.19652777777777777" top="0.3305555555555556" bottom="0.6506944444444445" header="0.03958333333333333" footer="0.5118055555555555"/>
  <pageSetup horizontalDpi="300" verticalDpi="300" orientation="landscape" pageOrder="overThenDown" paperSize="9" scale="91" r:id="rId1"/>
  <headerFooter alignWithMargins="0">
    <oddHeader xml:space="preserve">&amp;R&amp;"Times New Roman,Обычный"&amp;9ТСЖ "Кировское-2"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Григорий</dc:creator>
  <cp:keywords/>
  <dc:description/>
  <cp:lastModifiedBy>Кировское ЖКХ</cp:lastModifiedBy>
  <cp:lastPrinted>2017-05-20T15:08:27Z</cp:lastPrinted>
  <dcterms:created xsi:type="dcterms:W3CDTF">2015-01-24T14:56:39Z</dcterms:created>
  <dcterms:modified xsi:type="dcterms:W3CDTF">2017-05-20T15:14:23Z</dcterms:modified>
  <cp:category/>
  <cp:version/>
  <cp:contentType/>
  <cp:contentStatus/>
</cp:coreProperties>
</file>