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Расчет к штатному (3)" sheetId="1" r:id="rId1"/>
    <sheet name="2011проект" sheetId="2" r:id="rId2"/>
    <sheet name="2011" sheetId="3" r:id="rId3"/>
    <sheet name="Как вариант" sheetId="4" r:id="rId4"/>
    <sheet name="Правленная по приказу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<sst xmlns="http://schemas.openxmlformats.org/spreadsheetml/2006/main" count="421" uniqueCount="137">
  <si>
    <t>Расчет к штатному расписанию (на 01.01.2009)</t>
  </si>
  <si>
    <t>площадь помещений</t>
  </si>
  <si>
    <t>стоимость 1 м2 по смете</t>
  </si>
  <si>
    <t>фонд оплаты труда с ЕСН</t>
  </si>
  <si>
    <t>фонд оплаты труда без ЕСН и резерва</t>
  </si>
  <si>
    <t>ФОТ итого</t>
  </si>
  <si>
    <t>ФОТ по шт.распис.</t>
  </si>
  <si>
    <t>Экономия</t>
  </si>
  <si>
    <t>жилые</t>
  </si>
  <si>
    <t>нежилые</t>
  </si>
  <si>
    <t>м2</t>
  </si>
  <si>
    <t>руб.</t>
  </si>
  <si>
    <t>Аварийно-техническая служба</t>
  </si>
  <si>
    <t>Уборщицы</t>
  </si>
  <si>
    <t>Дворники</t>
  </si>
  <si>
    <t>АУП</t>
  </si>
  <si>
    <t>ИТОГО:</t>
  </si>
  <si>
    <t>ВСЕГО:</t>
  </si>
  <si>
    <t>Товарищество собственников жилья "Кировское-2"</t>
  </si>
  <si>
    <t>Номер документа</t>
  </si>
  <si>
    <t>ПРОЕКТ  ШТАТНОГО  РАСПИСАНИЯ</t>
  </si>
  <si>
    <t xml:space="preserve">                на период   с </t>
  </si>
  <si>
    <t>"01"</t>
  </si>
  <si>
    <t>января</t>
  </si>
  <si>
    <t>2011 г.</t>
  </si>
  <si>
    <t>№№</t>
  </si>
  <si>
    <t>Наименование</t>
  </si>
  <si>
    <t>Кол-во</t>
  </si>
  <si>
    <t xml:space="preserve">Должностной оклад </t>
  </si>
  <si>
    <t>ФОТ</t>
  </si>
  <si>
    <t>в том числе</t>
  </si>
  <si>
    <t>п/п</t>
  </si>
  <si>
    <t>должности</t>
  </si>
  <si>
    <t>шт.единиц</t>
  </si>
  <si>
    <t>обслуж.жил.пом.</t>
  </si>
  <si>
    <t>обслуж.нежил.пом.</t>
  </si>
  <si>
    <t>всего</t>
  </si>
  <si>
    <t>за месяц</t>
  </si>
  <si>
    <t>платят</t>
  </si>
  <si>
    <t>жильцы</t>
  </si>
  <si>
    <t>1.</t>
  </si>
  <si>
    <t>Председатель правления</t>
  </si>
  <si>
    <t>2.</t>
  </si>
  <si>
    <t>Управляющий</t>
  </si>
  <si>
    <t>3.</t>
  </si>
  <si>
    <t xml:space="preserve">Бухгалтер </t>
  </si>
  <si>
    <t>4.</t>
  </si>
  <si>
    <t>5.</t>
  </si>
  <si>
    <t>Паспортист</t>
  </si>
  <si>
    <t>6.</t>
  </si>
  <si>
    <t>Юрист</t>
  </si>
  <si>
    <t>7.</t>
  </si>
  <si>
    <t xml:space="preserve">Слесарь-сантехник </t>
  </si>
  <si>
    <t>8.</t>
  </si>
  <si>
    <t>9.</t>
  </si>
  <si>
    <t>Слесарь-сварщик</t>
  </si>
  <si>
    <t>10.</t>
  </si>
  <si>
    <t>Электрик</t>
  </si>
  <si>
    <t>11.</t>
  </si>
  <si>
    <t>Подсобный рабочий</t>
  </si>
  <si>
    <t>12.</t>
  </si>
  <si>
    <t>Старший дворник (ул. Минская, 25)</t>
  </si>
  <si>
    <t>13.</t>
  </si>
  <si>
    <t>Дворник (ул. Минская, 25)</t>
  </si>
  <si>
    <t>14.</t>
  </si>
  <si>
    <t>Дворник (ул.Нагорная, 143)</t>
  </si>
  <si>
    <t>15.</t>
  </si>
  <si>
    <t>Дворник (ул.Кромская, 4)</t>
  </si>
  <si>
    <t>16.</t>
  </si>
  <si>
    <t>Дворник (ул.Ставропольская, 204)</t>
  </si>
  <si>
    <t>17.</t>
  </si>
  <si>
    <t>Дворник (ул.Ставропольская, 202)</t>
  </si>
  <si>
    <t>18.</t>
  </si>
  <si>
    <t>Уборщица лестн. клеток (ул. Минская)</t>
  </si>
  <si>
    <t>19.</t>
  </si>
  <si>
    <t>Уборщица лестн. клеток (ул. Нагорная)</t>
  </si>
  <si>
    <t>20.</t>
  </si>
  <si>
    <t>Уборщица лестн. клеток (ул. Кромская)</t>
  </si>
  <si>
    <t>21.</t>
  </si>
  <si>
    <r>
      <t xml:space="preserve">Уборщица лестн. клеток </t>
    </r>
    <r>
      <rPr>
        <sz val="8"/>
        <rFont val="Arial"/>
        <family val="2"/>
      </rPr>
      <t>(ул. Ставроп.,204)</t>
    </r>
  </si>
  <si>
    <t>22.</t>
  </si>
  <si>
    <r>
      <t xml:space="preserve">Уборщица лестн. клеток </t>
    </r>
    <r>
      <rPr>
        <sz val="8"/>
        <rFont val="Arial"/>
        <family val="2"/>
      </rPr>
      <t>(ул. Ставроп.,202)</t>
    </r>
  </si>
  <si>
    <t>23.</t>
  </si>
  <si>
    <t>Уборщица подсобных помещ.</t>
  </si>
  <si>
    <t>Дата составления</t>
  </si>
  <si>
    <t>ШТАТНОЕ РАСПИСАНИЕ</t>
  </si>
  <si>
    <t>25.01.2011 г.</t>
  </si>
  <si>
    <t>протоколом общего собрания ТСЖ</t>
  </si>
  <si>
    <t xml:space="preserve"> от " 25   " января  2011 г. №4 </t>
  </si>
  <si>
    <t xml:space="preserve">штат в количестве </t>
  </si>
  <si>
    <t>человек.</t>
  </si>
  <si>
    <t xml:space="preserve">Резерв на </t>
  </si>
  <si>
    <t>Итого</t>
  </si>
  <si>
    <t>Управлением.</t>
  </si>
  <si>
    <t>отпуск (8,3%)</t>
  </si>
  <si>
    <t>жилыми помещ.</t>
  </si>
  <si>
    <t>нежилыми помещ.</t>
  </si>
  <si>
    <t>Г.В.Андрющенко</t>
  </si>
  <si>
    <t>Е.М.Гиршина</t>
  </si>
  <si>
    <t>УТВЕРЖДЕНО:</t>
  </si>
  <si>
    <t>При объединении единиц в списочном составе ТСЖ 27 человек.</t>
  </si>
  <si>
    <t>Галина Викторовна Андрющенко</t>
  </si>
  <si>
    <t>Елена Михайловна Гиршина</t>
  </si>
  <si>
    <t>тел/факс: 269-13-14</t>
  </si>
  <si>
    <t>ул.Минская, 25</t>
  </si>
  <si>
    <t>Дата внесения изменений</t>
  </si>
  <si>
    <t>Уборщик служ.помещ.(лестн. клеток ж.д.ул. Минская)</t>
  </si>
  <si>
    <t>Уборщик служ.помещ.(лестн. клеток ж.д.ул. Нагорная)</t>
  </si>
  <si>
    <t>Уборщик служ.помещ.(лестн. клеток ж.д.ул. Кромская)</t>
  </si>
  <si>
    <r>
      <t xml:space="preserve">Уборщик служ.помещ.(лестн. клеток </t>
    </r>
    <r>
      <rPr>
        <sz val="8"/>
        <rFont val="Arial"/>
        <family val="2"/>
      </rPr>
      <t>ж.д.ул. Ставроп.,204)</t>
    </r>
  </si>
  <si>
    <r>
      <t xml:space="preserve">Уборщик служ.помещ.( лестн. клеток </t>
    </r>
    <r>
      <rPr>
        <sz val="8"/>
        <rFont val="Arial"/>
        <family val="2"/>
      </rPr>
      <t>ж.д.ул. Ставроп.,202)</t>
    </r>
  </si>
  <si>
    <t>Уборщик подсобных помещ.</t>
  </si>
  <si>
    <t>Электромонтер по рем.и обслуж.эл.оборудования</t>
  </si>
  <si>
    <t>Слесарь-сантехник с совмещ. профес. электросварщик ручной сварки</t>
  </si>
  <si>
    <t>29.07.2011 г.</t>
  </si>
  <si>
    <t>Внесены изменения согласно Приказа от 29.07.2011г. №_______</t>
  </si>
  <si>
    <t>н.п.</t>
  </si>
  <si>
    <t>ж.п.</t>
  </si>
  <si>
    <t xml:space="preserve">Подсобный рабочий  </t>
  </si>
  <si>
    <t>В т.ч.</t>
  </si>
  <si>
    <t>Соц страхование</t>
  </si>
  <si>
    <t>ФОТ за месяц</t>
  </si>
  <si>
    <t>ВСЕГО</t>
  </si>
  <si>
    <t>в т.ч.</t>
  </si>
  <si>
    <t>Резерв на отпуск (8,3%)</t>
  </si>
  <si>
    <t>Должностной оклад   2009-2012 гг</t>
  </si>
  <si>
    <t>Должностной оклад на 2013 г</t>
  </si>
  <si>
    <t>Кол-во штат ед.</t>
  </si>
  <si>
    <t>Наименование должности</t>
  </si>
  <si>
    <t>№№ п/п</t>
  </si>
  <si>
    <t>На год</t>
  </si>
  <si>
    <t>Итого на месяц</t>
  </si>
  <si>
    <t xml:space="preserve">Юрист </t>
  </si>
  <si>
    <t>Уборщик служ.помещ.(лестн. клеток ж.д.ул. Ставроп.,204)</t>
  </si>
  <si>
    <t>Уборщик служ.помещ.(лестн. клеток ж.д.ул. Ставроп.,202)</t>
  </si>
  <si>
    <t>К получению</t>
  </si>
  <si>
    <t>К УТВЕРЖДЕНИЮ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</si>
</sst>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"/>
    <numFmt numFmtId="166" formatCode="0.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#,##0.0"/>
    <numFmt numFmtId="170" formatCode="0.00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.0000000_р_._-;\-* #,##0.0000000_р_._-;_-* &quot;-&quot;??_р_._-;_-@_-"/>
    <numFmt numFmtId="180" formatCode="_-* #,##0.00000000_р_._-;\-* #,##0.00000000_р_._-;_-* &quot;-&quot;??_р_._-;_-@_-"/>
    <numFmt numFmtId="181" formatCode="_-* #,##0.000000000_р_._-;\-* #,##0.000000000_р_._-;_-* &quot;-&quot;??_р_._-;_-@_-"/>
    <numFmt numFmtId="182" formatCode="_-* #,##0.0000000000_р_._-;\-* #,##0.0000000000_р_._-;_-* &quot;-&quot;??_р_._-;_-@_-"/>
    <numFmt numFmtId="183" formatCode="_-* #,##0.00000000000_р_._-;\-* #,##0.00000000000_р_._-;_-* &quot;-&quot;??_р_._-;_-@_-"/>
    <numFmt numFmtId="184" formatCode="_-* #,##0.000000000000_р_._-;\-* #,##0.000000000000_р_._-;_-* &quot;-&quot;??_р_._-;_-@_-"/>
    <numFmt numFmtId="185" formatCode="_-* #,##0.0000000000000_р_._-;\-* #,##0.0000000000000_р_._-;_-* &quot;-&quot;??_р_._-;_-@_-"/>
    <numFmt numFmtId="186" formatCode="_-* #,##0.00000000000000_р_._-;\-* #,##0.00000000000000_р_._-;_-* &quot;-&quot;??_р_._-;_-@_-"/>
    <numFmt numFmtId="187" formatCode="_-* #,##0.000000000000000_р_._-;\-* #,##0.000000000000000_р_._-;_-* &quot;-&quot;??_р_._-;_-@_-"/>
    <numFmt numFmtId="188" formatCode="_-* #,##0.0000000000000000_р_._-;\-* #,##0.0000000000000000_р_._-;_-* &quot;-&quot;??_р_._-;_-@_-"/>
    <numFmt numFmtId="189" formatCode="_-* #,##0.00000000000000000_р_._-;\-* #,##0.00000000000000000_р_._-;_-* &quot;-&quot;??_р_._-;_-@_-"/>
    <numFmt numFmtId="190" formatCode="_-* #,##0.000000000000000000_р_._-;\-* #,##0.000000000000000000_р_._-;_-* &quot;-&quot;??_р_._-;_-@_-"/>
    <numFmt numFmtId="191" formatCode="_-* #,##0.0000000000000000000_р_._-;\-* #,##0.0000000000000000000_р_._-;_-* &quot;-&quot;??_р_._-;_-@_-"/>
    <numFmt numFmtId="192" formatCode="_-* #,##0.00000000000000000000_р_._-;\-* #,##0.00000000000000000000_р_._-;_-* &quot;-&quot;??_р_._-;_-@_-"/>
    <numFmt numFmtId="193" formatCode="_-* #,##0.000000000000000000000_р_._-;\-* #,##0.000000000000000000000_р_._-;_-* &quot;-&quot;??_р_._-;_-@_-"/>
    <numFmt numFmtId="194" formatCode="_-* #,##0.0000000000000000000000_р_._-;\-* #,##0.0000000000000000000000_р_._-;_-* &quot;-&quot;??_р_._-;_-@_-"/>
    <numFmt numFmtId="195" formatCode="_-* #,##0.00000000000000000000000_р_._-;\-* #,##0.00000000000000000000000_р_._-;_-* &quot;-&quot;??_р_._-;_-@_-"/>
  </numFmts>
  <fonts count="47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21" xfId="0" applyFont="1" applyBorder="1" applyAlignment="1">
      <alignment horizontal="right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2" fontId="0" fillId="0" borderId="34" xfId="0" applyNumberForma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2" xfId="0" applyNumberForma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0" fontId="0" fillId="0" borderId="42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2" fontId="0" fillId="0" borderId="44" xfId="0" applyNumberForma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2" fontId="0" fillId="0" borderId="30" xfId="0" applyNumberFormat="1" applyBorder="1" applyAlignment="1">
      <alignment horizontal="right"/>
    </xf>
    <xf numFmtId="2" fontId="3" fillId="0" borderId="53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0" fillId="0" borderId="54" xfId="0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3" fillId="0" borderId="34" xfId="0" applyNumberFormat="1" applyFont="1" applyBorder="1" applyAlignment="1">
      <alignment horizontal="right"/>
    </xf>
    <xf numFmtId="0" fontId="0" fillId="0" borderId="55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4" xfId="0" applyNumberForma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1" fontId="3" fillId="0" borderId="39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" fillId="0" borderId="41" xfId="0" applyNumberFormat="1" applyFont="1" applyBorder="1" applyAlignment="1">
      <alignment horizontal="right"/>
    </xf>
    <xf numFmtId="1" fontId="0" fillId="0" borderId="1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0" fontId="0" fillId="0" borderId="57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6" xfId="0" applyNumberFormat="1" applyBorder="1" applyAlignment="1">
      <alignment horizontal="right"/>
    </xf>
    <xf numFmtId="1" fontId="3" fillId="0" borderId="36" xfId="0" applyNumberFormat="1" applyFont="1" applyBorder="1" applyAlignment="1">
      <alignment horizontal="right"/>
    </xf>
    <xf numFmtId="0" fontId="0" fillId="0" borderId="58" xfId="0" applyBorder="1" applyAlignment="1">
      <alignment horizontal="center"/>
    </xf>
    <xf numFmtId="1" fontId="3" fillId="0" borderId="58" xfId="0" applyNumberFormat="1" applyFont="1" applyBorder="1" applyAlignment="1">
      <alignment horizontal="right"/>
    </xf>
    <xf numFmtId="1" fontId="3" fillId="0" borderId="59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2" fontId="0" fillId="0" borderId="62" xfId="0" applyNumberFormat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2" fontId="3" fillId="0" borderId="62" xfId="0" applyNumberFormat="1" applyFont="1" applyBorder="1" applyAlignment="1">
      <alignment horizontal="right"/>
    </xf>
    <xf numFmtId="0" fontId="0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68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7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73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4" xfId="0" applyFill="1" applyBorder="1" applyAlignment="1">
      <alignment vertical="justify"/>
    </xf>
    <xf numFmtId="0" fontId="0" fillId="0" borderId="1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75" xfId="0" applyFont="1" applyFill="1" applyBorder="1" applyAlignment="1">
      <alignment horizontal="center"/>
    </xf>
    <xf numFmtId="0" fontId="0" fillId="0" borderId="76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60" xfId="0" applyNumberFormat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0" fontId="0" fillId="0" borderId="78" xfId="0" applyBorder="1" applyAlignment="1">
      <alignment horizontal="center"/>
    </xf>
    <xf numFmtId="1" fontId="0" fillId="0" borderId="78" xfId="0" applyNumberFormat="1" applyBorder="1" applyAlignment="1">
      <alignment horizontal="center"/>
    </xf>
    <xf numFmtId="1" fontId="3" fillId="0" borderId="79" xfId="0" applyNumberFormat="1" applyFont="1" applyBorder="1" applyAlignment="1">
      <alignment horizontal="center"/>
    </xf>
    <xf numFmtId="1" fontId="3" fillId="0" borderId="78" xfId="0" applyNumberFormat="1" applyFont="1" applyBorder="1" applyAlignment="1">
      <alignment horizontal="center"/>
    </xf>
    <xf numFmtId="1" fontId="3" fillId="0" borderId="80" xfId="0" applyNumberFormat="1" applyFont="1" applyBorder="1" applyAlignment="1">
      <alignment horizontal="center"/>
    </xf>
    <xf numFmtId="1" fontId="3" fillId="0" borderId="8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15" xfId="58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0" fontId="9" fillId="0" borderId="82" xfId="0" applyFont="1" applyBorder="1" applyAlignment="1">
      <alignment horizontal="center"/>
    </xf>
    <xf numFmtId="4" fontId="9" fillId="0" borderId="8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3" fontId="9" fillId="0" borderId="0" xfId="58" applyFont="1" applyAlignment="1">
      <alignment/>
    </xf>
    <xf numFmtId="168" fontId="9" fillId="0" borderId="0" xfId="58" applyNumberFormat="1" applyFont="1" applyAlignment="1">
      <alignment/>
    </xf>
    <xf numFmtId="0" fontId="9" fillId="0" borderId="82" xfId="0" applyFont="1" applyFill="1" applyBorder="1" applyAlignment="1">
      <alignment horizontal="center"/>
    </xf>
    <xf numFmtId="2" fontId="9" fillId="0" borderId="82" xfId="0" applyNumberFormat="1" applyFont="1" applyBorder="1" applyAlignment="1">
      <alignment horizontal="right"/>
    </xf>
    <xf numFmtId="4" fontId="9" fillId="0" borderId="82" xfId="0" applyNumberFormat="1" applyFont="1" applyFill="1" applyBorder="1" applyAlignment="1">
      <alignment horizontal="right"/>
    </xf>
    <xf numFmtId="0" fontId="9" fillId="0" borderId="82" xfId="0" applyFont="1" applyBorder="1" applyAlignment="1">
      <alignment vertical="justify"/>
    </xf>
    <xf numFmtId="169" fontId="9" fillId="0" borderId="82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83" xfId="0" applyFont="1" applyFill="1" applyBorder="1" applyAlignment="1">
      <alignment horizontal="center"/>
    </xf>
    <xf numFmtId="43" fontId="0" fillId="0" borderId="0" xfId="58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3" fontId="12" fillId="0" borderId="0" xfId="58" applyFont="1" applyAlignment="1">
      <alignment/>
    </xf>
    <xf numFmtId="0" fontId="9" fillId="0" borderId="84" xfId="0" applyFont="1" applyFill="1" applyBorder="1" applyAlignment="1">
      <alignment horizontal="center"/>
    </xf>
    <xf numFmtId="0" fontId="9" fillId="0" borderId="85" xfId="0" applyFont="1" applyBorder="1" applyAlignment="1">
      <alignment horizontal="center"/>
    </xf>
    <xf numFmtId="169" fontId="9" fillId="33" borderId="82" xfId="0" applyNumberFormat="1" applyFont="1" applyFill="1" applyBorder="1" applyAlignment="1">
      <alignment horizontal="center"/>
    </xf>
    <xf numFmtId="49" fontId="9" fillId="0" borderId="83" xfId="0" applyNumberFormat="1" applyFont="1" applyBorder="1" applyAlignment="1">
      <alignment horizontal="center"/>
    </xf>
    <xf numFmtId="49" fontId="9" fillId="0" borderId="85" xfId="0" applyNumberFormat="1" applyFont="1" applyBorder="1" applyAlignment="1">
      <alignment horizontal="center"/>
    </xf>
    <xf numFmtId="4" fontId="9" fillId="33" borderId="82" xfId="0" applyNumberFormat="1" applyFont="1" applyFill="1" applyBorder="1" applyAlignment="1">
      <alignment horizontal="center"/>
    </xf>
    <xf numFmtId="43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7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14" fontId="0" fillId="0" borderId="9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83" xfId="0" applyFont="1" applyBorder="1" applyAlignment="1">
      <alignment vertical="justify"/>
    </xf>
    <xf numFmtId="0" fontId="9" fillId="0" borderId="84" xfId="0" applyFont="1" applyBorder="1" applyAlignment="1">
      <alignment vertical="justify"/>
    </xf>
    <xf numFmtId="0" fontId="9" fillId="0" borderId="85" xfId="0" applyFont="1" applyBorder="1" applyAlignment="1">
      <alignment vertical="justify"/>
    </xf>
    <xf numFmtId="0" fontId="9" fillId="0" borderId="82" xfId="0" applyFont="1" applyBorder="1" applyAlignment="1">
      <alignment horizontal="left"/>
    </xf>
    <xf numFmtId="0" fontId="9" fillId="0" borderId="83" xfId="0" applyFont="1" applyFill="1" applyBorder="1" applyAlignment="1">
      <alignment horizontal="center" vertical="justify"/>
    </xf>
    <xf numFmtId="0" fontId="9" fillId="0" borderId="84" xfId="0" applyFont="1" applyFill="1" applyBorder="1" applyAlignment="1">
      <alignment horizontal="center" vertical="justify"/>
    </xf>
    <xf numFmtId="0" fontId="9" fillId="0" borderId="85" xfId="0" applyFont="1" applyFill="1" applyBorder="1" applyAlignment="1">
      <alignment horizontal="center" vertical="justify"/>
    </xf>
    <xf numFmtId="0" fontId="9" fillId="0" borderId="8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82" xfId="0" applyFont="1" applyBorder="1" applyAlignment="1">
      <alignment horizontal="right"/>
    </xf>
    <xf numFmtId="0" fontId="9" fillId="0" borderId="83" xfId="0" applyFont="1" applyBorder="1" applyAlignment="1">
      <alignment horizontal="center" vertical="justify"/>
    </xf>
    <xf numFmtId="0" fontId="9" fillId="0" borderId="84" xfId="0" applyFont="1" applyBorder="1" applyAlignment="1">
      <alignment horizontal="center" vertical="justify"/>
    </xf>
    <xf numFmtId="0" fontId="9" fillId="0" borderId="85" xfId="0" applyFont="1" applyBorder="1" applyAlignment="1">
      <alignment horizontal="center" vertical="justify"/>
    </xf>
    <xf numFmtId="0" fontId="9" fillId="0" borderId="8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9" fillId="0" borderId="82" xfId="0" applyNumberFormat="1" applyFont="1" applyBorder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14" fontId="0" fillId="0" borderId="90" xfId="0" applyNumberForma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93" xfId="0" applyFont="1" applyFill="1" applyBorder="1" applyAlignment="1">
      <alignment horizontal="right"/>
    </xf>
    <xf numFmtId="0" fontId="0" fillId="0" borderId="94" xfId="0" applyFont="1" applyFill="1" applyBorder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2;&#1055;&#1068;&#1070;&#1058;&#1045;&#1056;\&#1052;&#1086;&#1080;%20&#1076;&#1086;&#1082;&#1091;&#1084;&#1077;&#1085;&#1090;&#1099;_2012\&#1052;&#1086;&#1080;%20&#1076;&#1086;&#1082;&#1091;&#1084;&#1077;&#1085;&#1090;&#1099;_&#1058;&#1057;&#1046;\&#1055;&#1088;&#1072;&#1074;&#1083;&#1077;&#1085;&#1080;&#1077;%202011\&#1055;&#1086;&#1076;&#1075;&#1086;&#1090;&#1086;&#1074;&#1082;&#1072;%20&#1082;%20&#1089;&#1086;&#1073;&#1088;&#1072;&#1085;&#1080;&#1102;%202012%20&#1075;&#1086;&#1076;&#1072;_&#1080;&#1102;&#1085;&#1100;\&#1087;&#1083;&#1072;&#1085;&#1080;&#1088;&#1091;&#1077;&#1084;&#1099;&#1077;%20&#1079;&#1072;&#1090;&#1088;&#1072;&#1090;&#1099;_2012_6&#1084;&#1077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D68">
            <v>107612.3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6.8515625" style="0" customWidth="1"/>
    <col min="2" max="2" width="9.7109375" style="0" customWidth="1"/>
    <col min="5" max="5" width="10.140625" style="0" customWidth="1"/>
    <col min="6" max="6" width="9.7109375" style="0" customWidth="1"/>
    <col min="7" max="7" width="13.7109375" style="0" customWidth="1"/>
    <col min="8" max="8" width="10.421875" style="0" customWidth="1"/>
    <col min="9" max="9" width="16.140625" style="0" customWidth="1"/>
    <col min="10" max="10" width="9.7109375" style="0" customWidth="1"/>
    <col min="11" max="11" width="14.57421875" style="0" customWidth="1"/>
  </cols>
  <sheetData>
    <row r="3" spans="1:12" ht="12.75">
      <c r="A3" s="236" t="s">
        <v>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7" spans="1:12" ht="12.75">
      <c r="A7" s="2"/>
      <c r="B7" s="237" t="s">
        <v>1</v>
      </c>
      <c r="C7" s="237"/>
      <c r="D7" s="238" t="s">
        <v>2</v>
      </c>
      <c r="E7" s="238"/>
      <c r="F7" s="237" t="s">
        <v>3</v>
      </c>
      <c r="G7" s="237"/>
      <c r="H7" s="239" t="s">
        <v>4</v>
      </c>
      <c r="I7" s="239"/>
      <c r="J7" s="3" t="s">
        <v>5</v>
      </c>
      <c r="K7" s="4" t="s">
        <v>6</v>
      </c>
      <c r="L7" s="5" t="s">
        <v>7</v>
      </c>
    </row>
    <row r="8" spans="1:12" ht="12.75">
      <c r="A8" s="6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8"/>
      <c r="K8" s="9"/>
      <c r="L8" s="10"/>
    </row>
    <row r="9" spans="1:12" ht="12.75">
      <c r="A9" s="11"/>
      <c r="B9" s="234" t="s">
        <v>10</v>
      </c>
      <c r="C9" s="234"/>
      <c r="D9" s="240" t="s">
        <v>11</v>
      </c>
      <c r="E9" s="240"/>
      <c r="F9" s="234" t="s">
        <v>11</v>
      </c>
      <c r="G9" s="234"/>
      <c r="H9" s="234" t="s">
        <v>11</v>
      </c>
      <c r="I9" s="234"/>
      <c r="J9" s="8" t="s">
        <v>11</v>
      </c>
      <c r="K9" s="9" t="s">
        <v>11</v>
      </c>
      <c r="L9" s="10" t="s">
        <v>11</v>
      </c>
    </row>
    <row r="10" spans="1:12" ht="12.75">
      <c r="A10" s="13" t="s">
        <v>12</v>
      </c>
      <c r="B10" s="14">
        <v>90646.3</v>
      </c>
      <c r="C10" s="14">
        <v>15841.21</v>
      </c>
      <c r="D10" s="14">
        <v>0.99</v>
      </c>
      <c r="E10" s="14">
        <v>1.9</v>
      </c>
      <c r="F10" s="14">
        <f>B10*D10</f>
        <v>89739.837</v>
      </c>
      <c r="G10" s="14">
        <f>C10*E10</f>
        <v>30098.298999999995</v>
      </c>
      <c r="H10" s="14">
        <f>F10/1.262/1.083</f>
        <v>65659.48391288506</v>
      </c>
      <c r="I10" s="14">
        <f>G10/1.262/1.083</f>
        <v>22021.867267217167</v>
      </c>
      <c r="J10" s="15">
        <f>SUM(H10:I10)</f>
        <v>87681.35118010223</v>
      </c>
      <c r="K10" s="16">
        <v>80000</v>
      </c>
      <c r="L10" s="17">
        <f>J10-K10</f>
        <v>7681.351180102225</v>
      </c>
    </row>
    <row r="11" spans="1:12" ht="12.75">
      <c r="A11" s="13" t="s">
        <v>13</v>
      </c>
      <c r="B11" s="14">
        <v>90646.3</v>
      </c>
      <c r="C11" s="14">
        <v>15841.21</v>
      </c>
      <c r="D11" s="14">
        <v>1.05</v>
      </c>
      <c r="E11" s="14"/>
      <c r="F11" s="14">
        <f>B11*D11</f>
        <v>95178.615</v>
      </c>
      <c r="G11" s="14"/>
      <c r="H11" s="14">
        <f>F11/1.262/1.083</f>
        <v>69638.84657427204</v>
      </c>
      <c r="I11" s="14"/>
      <c r="J11" s="15">
        <f>SUM(H11:I11)</f>
        <v>69638.84657427204</v>
      </c>
      <c r="K11" s="16">
        <v>63000</v>
      </c>
      <c r="L11" s="17">
        <f>J11-K11</f>
        <v>6638.846574272044</v>
      </c>
    </row>
    <row r="12" spans="1:12" ht="12.75">
      <c r="A12" s="13" t="s">
        <v>14</v>
      </c>
      <c r="B12" s="14">
        <v>90646.3</v>
      </c>
      <c r="C12" s="14">
        <v>15841.21</v>
      </c>
      <c r="D12" s="14">
        <v>1.17</v>
      </c>
      <c r="E12" s="14">
        <v>2.33</v>
      </c>
      <c r="F12" s="14">
        <f>B12*D12</f>
        <v>106056.171</v>
      </c>
      <c r="G12" s="14">
        <f>C12*E12</f>
        <v>36910.0193</v>
      </c>
      <c r="H12" s="14">
        <f>F12/1.262/1.083</f>
        <v>77597.57189704599</v>
      </c>
      <c r="I12" s="14">
        <f>G12/1.262/1.083</f>
        <v>27005.76354348211</v>
      </c>
      <c r="J12" s="15">
        <f>SUM(H12:I12)</f>
        <v>104603.3354405281</v>
      </c>
      <c r="K12" s="16">
        <v>94500</v>
      </c>
      <c r="L12" s="17">
        <f>J12-K12</f>
        <v>10103.335440528099</v>
      </c>
    </row>
    <row r="13" spans="1:12" ht="12.75">
      <c r="A13" s="13" t="s">
        <v>15</v>
      </c>
      <c r="B13" s="14">
        <v>90646.3</v>
      </c>
      <c r="C13" s="14">
        <v>15841.21</v>
      </c>
      <c r="D13" s="14">
        <v>1.18</v>
      </c>
      <c r="E13" s="14">
        <v>2.44</v>
      </c>
      <c r="F13" s="14">
        <f>B13*D13</f>
        <v>106962.63399999999</v>
      </c>
      <c r="G13" s="14">
        <f>C13*E13</f>
        <v>38652.5524</v>
      </c>
      <c r="H13" s="14">
        <f>F13/1.262/1.083</f>
        <v>78260.79900727714</v>
      </c>
      <c r="I13" s="14">
        <f>G13/1.262/1.083</f>
        <v>28280.71375368942</v>
      </c>
      <c r="J13" s="15">
        <f>SUM(H13:I13)</f>
        <v>106541.51276096655</v>
      </c>
      <c r="K13" s="16">
        <v>96400</v>
      </c>
      <c r="L13" s="17">
        <f>J13-K13</f>
        <v>10141.51276096655</v>
      </c>
    </row>
    <row r="14" spans="1:12" ht="12.75">
      <c r="A14" s="13"/>
      <c r="B14" s="14"/>
      <c r="C14" s="14"/>
      <c r="D14" s="14"/>
      <c r="E14" s="14"/>
      <c r="F14" s="14"/>
      <c r="G14" s="14"/>
      <c r="H14" s="14"/>
      <c r="I14" s="14"/>
      <c r="J14" s="15"/>
      <c r="K14" s="16"/>
      <c r="L14" s="17"/>
    </row>
    <row r="15" spans="1:12" ht="12.75">
      <c r="A15" s="13"/>
      <c r="B15" s="14"/>
      <c r="C15" s="14"/>
      <c r="D15" s="14"/>
      <c r="E15" s="14"/>
      <c r="F15" s="14"/>
      <c r="G15" s="14"/>
      <c r="H15" s="14"/>
      <c r="I15" s="14"/>
      <c r="J15" s="15"/>
      <c r="K15" s="16"/>
      <c r="L15" s="17"/>
    </row>
    <row r="16" spans="1:12" ht="12.75">
      <c r="A16" s="18" t="s">
        <v>16</v>
      </c>
      <c r="B16" s="19"/>
      <c r="C16" s="19"/>
      <c r="D16" s="19"/>
      <c r="E16" s="19"/>
      <c r="F16" s="19">
        <f aca="true" t="shared" si="0" ref="F16:L16">SUM(F10:F15)</f>
        <v>397937.257</v>
      </c>
      <c r="G16" s="19">
        <f t="shared" si="0"/>
        <v>105660.8707</v>
      </c>
      <c r="H16" s="19">
        <f t="shared" si="0"/>
        <v>291156.7013914802</v>
      </c>
      <c r="I16" s="19">
        <f t="shared" si="0"/>
        <v>77308.3445643887</v>
      </c>
      <c r="J16" s="20">
        <f t="shared" si="0"/>
        <v>368465.0459558689</v>
      </c>
      <c r="K16" s="21">
        <f t="shared" si="0"/>
        <v>333900</v>
      </c>
      <c r="L16" s="22">
        <f t="shared" si="0"/>
        <v>34565.04595586892</v>
      </c>
    </row>
    <row r="17" spans="1:12" ht="12.75">
      <c r="A17" s="23" t="s">
        <v>17</v>
      </c>
      <c r="B17" s="24"/>
      <c r="C17" s="24"/>
      <c r="D17" s="24">
        <f>SUM(D10:D16)</f>
        <v>4.39</v>
      </c>
      <c r="E17" s="24">
        <f>SUM(E10:E16)</f>
        <v>6.67</v>
      </c>
      <c r="F17" s="235">
        <f>F16+G16</f>
        <v>503598.12769999995</v>
      </c>
      <c r="G17" s="235"/>
      <c r="H17" s="235">
        <f>H16+I16</f>
        <v>368465.0459558689</v>
      </c>
      <c r="I17" s="235"/>
      <c r="J17" s="25"/>
      <c r="K17" s="25"/>
      <c r="L17" s="25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</sheetData>
  <sheetProtection selectLockedCells="1" selectUnlockedCells="1"/>
  <mergeCells count="11">
    <mergeCell ref="D9:E9"/>
    <mergeCell ref="F9:G9"/>
    <mergeCell ref="H9:I9"/>
    <mergeCell ref="F17:G17"/>
    <mergeCell ref="H17:I17"/>
    <mergeCell ref="A3:L3"/>
    <mergeCell ref="B7:C7"/>
    <mergeCell ref="D7:E7"/>
    <mergeCell ref="F7:G7"/>
    <mergeCell ref="H7:I7"/>
    <mergeCell ref="B9:C9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110" zoomScaleNormal="110" zoomScalePageLayoutView="0" workbookViewId="0" topLeftCell="A10">
      <selection activeCell="L22" sqref="L22"/>
    </sheetView>
  </sheetViews>
  <sheetFormatPr defaultColWidth="9.140625" defaultRowHeight="12.75"/>
  <cols>
    <col min="1" max="1" width="4.8515625" style="0" customWidth="1"/>
    <col min="2" max="2" width="35.8515625" style="0" customWidth="1"/>
    <col min="3" max="3" width="10.7109375" style="0" customWidth="1"/>
    <col min="4" max="4" width="12.140625" style="0" customWidth="1"/>
    <col min="5" max="5" width="14.00390625" style="0" customWidth="1"/>
    <col min="6" max="6" width="11.00390625" style="0" customWidth="1"/>
    <col min="7" max="7" width="16.00390625" style="0" customWidth="1"/>
    <col min="8" max="8" width="12.421875" style="0" customWidth="1"/>
    <col min="9" max="9" width="13.421875" style="0" customWidth="1"/>
  </cols>
  <sheetData>
    <row r="1" spans="7:10" ht="12.75">
      <c r="G1" s="28"/>
      <c r="H1" s="28"/>
      <c r="I1" s="29"/>
      <c r="J1" s="30"/>
    </row>
    <row r="2" spans="7:10" ht="12.75">
      <c r="G2" s="29"/>
      <c r="H2" s="29"/>
      <c r="I2" s="29"/>
      <c r="J2" s="30"/>
    </row>
    <row r="3" spans="7:10" ht="12.75">
      <c r="G3" s="29"/>
      <c r="H3" s="29"/>
      <c r="I3" s="29"/>
      <c r="J3" s="30"/>
    </row>
    <row r="4" spans="6:10" ht="13.5" customHeight="1">
      <c r="F4" s="31"/>
      <c r="G4" s="31"/>
      <c r="H4" s="31"/>
      <c r="I4" s="32"/>
      <c r="J4" s="32"/>
    </row>
    <row r="5" spans="2:10" ht="17.25" customHeight="1">
      <c r="B5" s="246" t="s">
        <v>18</v>
      </c>
      <c r="C5" s="246"/>
      <c r="D5" s="246"/>
      <c r="E5" s="246"/>
      <c r="F5" s="246"/>
      <c r="G5" s="31"/>
      <c r="H5" s="33"/>
      <c r="I5" s="33"/>
      <c r="J5" s="34"/>
    </row>
    <row r="6" spans="7:10" ht="15.75" customHeight="1">
      <c r="G6" s="35"/>
      <c r="H6" s="33"/>
      <c r="I6" s="33"/>
      <c r="J6" s="36"/>
    </row>
    <row r="8" spans="1:5" ht="12.75">
      <c r="A8" s="247"/>
      <c r="B8" s="247"/>
      <c r="C8" s="247"/>
      <c r="D8" s="38"/>
      <c r="E8" s="38"/>
    </row>
    <row r="9" spans="4:9" ht="12.75">
      <c r="D9" s="248" t="s">
        <v>19</v>
      </c>
      <c r="E9" s="248"/>
      <c r="F9" s="247"/>
      <c r="G9" s="247"/>
      <c r="H9" s="247"/>
      <c r="I9" s="247"/>
    </row>
    <row r="10" spans="1:9" ht="15.75">
      <c r="A10" s="249" t="s">
        <v>20</v>
      </c>
      <c r="B10" s="249"/>
      <c r="C10" s="249"/>
      <c r="D10" s="250"/>
      <c r="E10" s="250"/>
      <c r="F10" s="251"/>
      <c r="G10" s="251"/>
      <c r="H10" s="251"/>
      <c r="I10" s="251"/>
    </row>
    <row r="11" spans="1:10" ht="15.75">
      <c r="A11" s="242"/>
      <c r="B11" s="242"/>
      <c r="C11" s="242"/>
      <c r="D11" s="242"/>
      <c r="E11" s="41"/>
      <c r="F11" s="236"/>
      <c r="G11" s="236"/>
      <c r="H11" s="236"/>
      <c r="I11" s="236"/>
      <c r="J11" s="236"/>
    </row>
    <row r="12" spans="6:9" ht="12.75">
      <c r="F12" s="236"/>
      <c r="G12" s="236"/>
      <c r="H12" s="42"/>
      <c r="I12" s="42"/>
    </row>
    <row r="13" spans="2:9" ht="12.75">
      <c r="B13" s="43" t="s">
        <v>21</v>
      </c>
      <c r="C13" s="44" t="s">
        <v>22</v>
      </c>
      <c r="D13" s="44" t="s">
        <v>23</v>
      </c>
      <c r="E13" s="44" t="s">
        <v>24</v>
      </c>
      <c r="F13" s="45"/>
      <c r="G13" s="243"/>
      <c r="H13" s="243"/>
      <c r="I13" s="243"/>
    </row>
    <row r="16" spans="1:9" ht="12.75">
      <c r="A16" s="46" t="s">
        <v>25</v>
      </c>
      <c r="B16" s="47" t="s">
        <v>26</v>
      </c>
      <c r="C16" s="48" t="s">
        <v>27</v>
      </c>
      <c r="D16" s="244" t="s">
        <v>28</v>
      </c>
      <c r="E16" s="244"/>
      <c r="F16" s="244"/>
      <c r="G16" s="49" t="s">
        <v>29</v>
      </c>
      <c r="H16" s="245" t="s">
        <v>30</v>
      </c>
      <c r="I16" s="245"/>
    </row>
    <row r="17" spans="1:9" ht="12.75">
      <c r="A17" s="50" t="s">
        <v>31</v>
      </c>
      <c r="B17" s="51" t="s">
        <v>32</v>
      </c>
      <c r="C17" s="52" t="s">
        <v>33</v>
      </c>
      <c r="D17" s="32" t="s">
        <v>34</v>
      </c>
      <c r="E17" s="53" t="s">
        <v>35</v>
      </c>
      <c r="F17" s="54" t="s">
        <v>36</v>
      </c>
      <c r="G17" s="55" t="s">
        <v>37</v>
      </c>
      <c r="H17" s="32" t="s">
        <v>38</v>
      </c>
      <c r="I17" s="53" t="s">
        <v>38</v>
      </c>
    </row>
    <row r="18" spans="1:9" ht="12.75">
      <c r="A18" s="56"/>
      <c r="B18" s="57"/>
      <c r="C18" s="58"/>
      <c r="D18" s="59"/>
      <c r="E18" s="60"/>
      <c r="F18" s="61"/>
      <c r="G18" s="62"/>
      <c r="H18" s="59" t="s">
        <v>39</v>
      </c>
      <c r="I18" s="60" t="s">
        <v>9</v>
      </c>
    </row>
    <row r="19" spans="1:9" ht="12.75">
      <c r="A19" s="63" t="s">
        <v>40</v>
      </c>
      <c r="B19" s="64" t="s">
        <v>41</v>
      </c>
      <c r="C19" s="7">
        <v>1</v>
      </c>
      <c r="D19" s="65">
        <v>19800</v>
      </c>
      <c r="E19" s="65">
        <v>7700</v>
      </c>
      <c r="F19" s="65">
        <f aca="true" t="shared" si="0" ref="F19:F35">D19+E19</f>
        <v>27500</v>
      </c>
      <c r="G19" s="66">
        <f>H19+I19</f>
        <v>27500</v>
      </c>
      <c r="H19" s="65">
        <f aca="true" t="shared" si="1" ref="H19:H41">D19*C19</f>
        <v>19800</v>
      </c>
      <c r="I19" s="65">
        <f>E19*C19</f>
        <v>7700</v>
      </c>
    </row>
    <row r="20" spans="1:9" ht="12.75">
      <c r="A20" s="63" t="s">
        <v>42</v>
      </c>
      <c r="B20" s="64" t="s">
        <v>43</v>
      </c>
      <c r="C20" s="7">
        <v>1</v>
      </c>
      <c r="D20" s="65">
        <v>13000</v>
      </c>
      <c r="E20" s="65">
        <v>6000</v>
      </c>
      <c r="F20" s="65">
        <f t="shared" si="0"/>
        <v>19000</v>
      </c>
      <c r="G20" s="66">
        <f aca="true" t="shared" si="2" ref="G20:G28">F20*C20</f>
        <v>19000</v>
      </c>
      <c r="H20" s="65">
        <f t="shared" si="1"/>
        <v>13000</v>
      </c>
      <c r="I20" s="65">
        <f>E20*C20</f>
        <v>6000</v>
      </c>
    </row>
    <row r="21" spans="1:9" ht="12.75">
      <c r="A21" s="63" t="s">
        <v>44</v>
      </c>
      <c r="B21" s="64" t="s">
        <v>45</v>
      </c>
      <c r="C21" s="7">
        <v>1</v>
      </c>
      <c r="D21" s="65">
        <v>20500</v>
      </c>
      <c r="E21" s="65"/>
      <c r="F21" s="65">
        <f t="shared" si="0"/>
        <v>20500</v>
      </c>
      <c r="G21" s="66">
        <f t="shared" si="2"/>
        <v>20500</v>
      </c>
      <c r="H21" s="65">
        <f t="shared" si="1"/>
        <v>20500</v>
      </c>
      <c r="I21" s="65"/>
    </row>
    <row r="22" spans="1:9" ht="12.75">
      <c r="A22" s="63" t="s">
        <v>46</v>
      </c>
      <c r="B22" s="64" t="s">
        <v>45</v>
      </c>
      <c r="C22" s="7">
        <v>1</v>
      </c>
      <c r="D22" s="65">
        <v>8500</v>
      </c>
      <c r="E22" s="65">
        <v>12000</v>
      </c>
      <c r="F22" s="65">
        <f t="shared" si="0"/>
        <v>20500</v>
      </c>
      <c r="G22" s="66">
        <f t="shared" si="2"/>
        <v>20500</v>
      </c>
      <c r="H22" s="65">
        <f t="shared" si="1"/>
        <v>8500</v>
      </c>
      <c r="I22" s="65">
        <f>E22*C22</f>
        <v>12000</v>
      </c>
    </row>
    <row r="23" spans="1:9" ht="12.75">
      <c r="A23" s="67" t="s">
        <v>47</v>
      </c>
      <c r="B23" s="68" t="s">
        <v>48</v>
      </c>
      <c r="C23" s="69">
        <v>1</v>
      </c>
      <c r="D23" s="70">
        <v>9500</v>
      </c>
      <c r="E23" s="70"/>
      <c r="F23" s="65">
        <f t="shared" si="0"/>
        <v>9500</v>
      </c>
      <c r="G23" s="71">
        <f t="shared" si="2"/>
        <v>9500</v>
      </c>
      <c r="H23" s="65">
        <f t="shared" si="1"/>
        <v>9500</v>
      </c>
      <c r="I23" s="65"/>
    </row>
    <row r="24" spans="1:9" ht="12.75">
      <c r="A24" s="67" t="s">
        <v>49</v>
      </c>
      <c r="B24" s="68" t="s">
        <v>50</v>
      </c>
      <c r="C24" s="69">
        <v>1</v>
      </c>
      <c r="D24" s="70">
        <v>10000</v>
      </c>
      <c r="E24" s="70">
        <v>4000</v>
      </c>
      <c r="F24" s="65">
        <f t="shared" si="0"/>
        <v>14000</v>
      </c>
      <c r="G24" s="71">
        <f t="shared" si="2"/>
        <v>14000</v>
      </c>
      <c r="H24" s="65">
        <f t="shared" si="1"/>
        <v>10000</v>
      </c>
      <c r="I24" s="65">
        <f>E24*C24</f>
        <v>4000</v>
      </c>
    </row>
    <row r="25" spans="1:9" ht="12.75">
      <c r="A25" s="72" t="s">
        <v>51</v>
      </c>
      <c r="B25" s="73" t="s">
        <v>52</v>
      </c>
      <c r="C25" s="74">
        <v>3</v>
      </c>
      <c r="D25" s="70">
        <v>15500</v>
      </c>
      <c r="E25" s="75"/>
      <c r="F25" s="70">
        <f t="shared" si="0"/>
        <v>15500</v>
      </c>
      <c r="G25" s="76">
        <f t="shared" si="2"/>
        <v>46500</v>
      </c>
      <c r="H25" s="65">
        <f t="shared" si="1"/>
        <v>46500</v>
      </c>
      <c r="I25" s="65"/>
    </row>
    <row r="26" spans="1:9" ht="12.75">
      <c r="A26" s="77" t="s">
        <v>53</v>
      </c>
      <c r="B26" s="73" t="s">
        <v>52</v>
      </c>
      <c r="C26" s="74">
        <v>1</v>
      </c>
      <c r="D26" s="70"/>
      <c r="E26" s="75">
        <v>15500</v>
      </c>
      <c r="F26" s="70">
        <f t="shared" si="0"/>
        <v>15500</v>
      </c>
      <c r="G26" s="78">
        <f t="shared" si="2"/>
        <v>15500</v>
      </c>
      <c r="H26" s="65">
        <f t="shared" si="1"/>
        <v>0</v>
      </c>
      <c r="I26" s="65">
        <f>E26*C26</f>
        <v>15500</v>
      </c>
    </row>
    <row r="27" spans="1:9" ht="12.75">
      <c r="A27" s="79" t="s">
        <v>54</v>
      </c>
      <c r="B27" s="80" t="s">
        <v>55</v>
      </c>
      <c r="C27" s="9">
        <v>1</v>
      </c>
      <c r="D27" s="65">
        <v>15500</v>
      </c>
      <c r="E27" s="81">
        <v>5000</v>
      </c>
      <c r="F27" s="65">
        <f t="shared" si="0"/>
        <v>20500</v>
      </c>
      <c r="G27" s="82">
        <f t="shared" si="2"/>
        <v>20500</v>
      </c>
      <c r="H27" s="65">
        <f t="shared" si="1"/>
        <v>15500</v>
      </c>
      <c r="I27" s="65">
        <f>E27*C27</f>
        <v>5000</v>
      </c>
    </row>
    <row r="28" spans="1:9" ht="12.75">
      <c r="A28" s="63" t="s">
        <v>56</v>
      </c>
      <c r="B28" s="64" t="s">
        <v>57</v>
      </c>
      <c r="C28" s="83">
        <v>1</v>
      </c>
      <c r="D28" s="84">
        <v>10000</v>
      </c>
      <c r="E28" s="85">
        <v>5500</v>
      </c>
      <c r="F28" s="65">
        <f t="shared" si="0"/>
        <v>15500</v>
      </c>
      <c r="G28" s="82">
        <f t="shared" si="2"/>
        <v>15500</v>
      </c>
      <c r="H28" s="65">
        <f t="shared" si="1"/>
        <v>10000</v>
      </c>
      <c r="I28" s="65">
        <f>E28*C28</f>
        <v>5500</v>
      </c>
    </row>
    <row r="29" spans="1:9" ht="12.75">
      <c r="A29" s="67" t="s">
        <v>58</v>
      </c>
      <c r="B29" s="80" t="s">
        <v>59</v>
      </c>
      <c r="C29" s="12">
        <v>1</v>
      </c>
      <c r="D29" s="84">
        <v>4500</v>
      </c>
      <c r="E29" s="84"/>
      <c r="F29" s="65">
        <f t="shared" si="0"/>
        <v>4500</v>
      </c>
      <c r="G29" s="86">
        <f>F29</f>
        <v>4500</v>
      </c>
      <c r="H29" s="65">
        <f t="shared" si="1"/>
        <v>4500</v>
      </c>
      <c r="I29" s="65"/>
    </row>
    <row r="30" spans="1:9" ht="12.75">
      <c r="A30" s="67" t="s">
        <v>60</v>
      </c>
      <c r="B30" s="80" t="s">
        <v>61</v>
      </c>
      <c r="C30" s="12">
        <v>1</v>
      </c>
      <c r="D30" s="84">
        <v>8500</v>
      </c>
      <c r="E30" s="84">
        <v>4000</v>
      </c>
      <c r="F30" s="65">
        <f t="shared" si="0"/>
        <v>12500</v>
      </c>
      <c r="G30" s="86">
        <f>F30</f>
        <v>12500</v>
      </c>
      <c r="H30" s="65">
        <f t="shared" si="1"/>
        <v>8500</v>
      </c>
      <c r="I30" s="65">
        <f aca="true" t="shared" si="3" ref="I30:I35">E30*C30</f>
        <v>4000</v>
      </c>
    </row>
    <row r="31" spans="1:9" ht="12.75">
      <c r="A31" s="67" t="s">
        <v>62</v>
      </c>
      <c r="B31" s="64" t="s">
        <v>63</v>
      </c>
      <c r="C31" s="7">
        <v>1</v>
      </c>
      <c r="D31" s="65">
        <v>8000</v>
      </c>
      <c r="E31" s="65">
        <v>4000</v>
      </c>
      <c r="F31" s="65">
        <f t="shared" si="0"/>
        <v>12000</v>
      </c>
      <c r="G31" s="66">
        <f aca="true" t="shared" si="4" ref="G31:G41">F31*C31</f>
        <v>12000</v>
      </c>
      <c r="H31" s="65">
        <f t="shared" si="1"/>
        <v>8000</v>
      </c>
      <c r="I31" s="65">
        <f t="shared" si="3"/>
        <v>4000</v>
      </c>
    </row>
    <row r="32" spans="1:9" ht="12.75">
      <c r="A32" s="67" t="s">
        <v>64</v>
      </c>
      <c r="B32" s="64" t="s">
        <v>65</v>
      </c>
      <c r="C32" s="7">
        <v>2</v>
      </c>
      <c r="D32" s="65">
        <v>8000</v>
      </c>
      <c r="E32" s="65">
        <v>2000</v>
      </c>
      <c r="F32" s="65">
        <f t="shared" si="0"/>
        <v>10000</v>
      </c>
      <c r="G32" s="66">
        <f t="shared" si="4"/>
        <v>20000</v>
      </c>
      <c r="H32" s="65">
        <f t="shared" si="1"/>
        <v>16000</v>
      </c>
      <c r="I32" s="65">
        <f t="shared" si="3"/>
        <v>4000</v>
      </c>
    </row>
    <row r="33" spans="1:9" ht="12.75">
      <c r="A33" s="67" t="s">
        <v>66</v>
      </c>
      <c r="B33" s="64" t="s">
        <v>67</v>
      </c>
      <c r="C33" s="7">
        <v>2</v>
      </c>
      <c r="D33" s="65">
        <v>8000</v>
      </c>
      <c r="E33" s="65">
        <v>4000</v>
      </c>
      <c r="F33" s="65">
        <f t="shared" si="0"/>
        <v>12000</v>
      </c>
      <c r="G33" s="66">
        <f t="shared" si="4"/>
        <v>24000</v>
      </c>
      <c r="H33" s="65">
        <f t="shared" si="1"/>
        <v>16000</v>
      </c>
      <c r="I33" s="65">
        <f t="shared" si="3"/>
        <v>8000</v>
      </c>
    </row>
    <row r="34" spans="1:9" ht="12.75">
      <c r="A34" s="63" t="s">
        <v>68</v>
      </c>
      <c r="B34" s="64" t="s">
        <v>69</v>
      </c>
      <c r="C34" s="7">
        <v>2</v>
      </c>
      <c r="D34" s="65">
        <v>6000</v>
      </c>
      <c r="E34" s="65">
        <v>2000</v>
      </c>
      <c r="F34" s="65">
        <f t="shared" si="0"/>
        <v>8000</v>
      </c>
      <c r="G34" s="66">
        <f t="shared" si="4"/>
        <v>16000</v>
      </c>
      <c r="H34" s="65">
        <f t="shared" si="1"/>
        <v>12000</v>
      </c>
      <c r="I34" s="65">
        <f t="shared" si="3"/>
        <v>4000</v>
      </c>
    </row>
    <row r="35" spans="1:9" ht="12.75">
      <c r="A35" s="63" t="s">
        <v>70</v>
      </c>
      <c r="B35" s="64" t="s">
        <v>71</v>
      </c>
      <c r="C35" s="7">
        <v>2</v>
      </c>
      <c r="D35" s="65">
        <v>8000</v>
      </c>
      <c r="E35" s="65">
        <v>4000</v>
      </c>
      <c r="F35" s="65">
        <f t="shared" si="0"/>
        <v>12000</v>
      </c>
      <c r="G35" s="66">
        <f t="shared" si="4"/>
        <v>24000</v>
      </c>
      <c r="H35" s="65">
        <f t="shared" si="1"/>
        <v>16000</v>
      </c>
      <c r="I35" s="65">
        <f t="shared" si="3"/>
        <v>8000</v>
      </c>
    </row>
    <row r="36" spans="1:9" ht="12.75">
      <c r="A36" s="63" t="s">
        <v>72</v>
      </c>
      <c r="B36" s="87" t="s">
        <v>73</v>
      </c>
      <c r="C36" s="7">
        <v>7</v>
      </c>
      <c r="D36" s="65">
        <v>2300</v>
      </c>
      <c r="E36" s="65"/>
      <c r="F36" s="65">
        <f>D36</f>
        <v>2300</v>
      </c>
      <c r="G36" s="66">
        <f t="shared" si="4"/>
        <v>16100</v>
      </c>
      <c r="H36" s="65">
        <f t="shared" si="1"/>
        <v>16100</v>
      </c>
      <c r="I36" s="65"/>
    </row>
    <row r="37" spans="1:9" ht="12.75">
      <c r="A37" s="63" t="s">
        <v>74</v>
      </c>
      <c r="B37" s="87" t="s">
        <v>75</v>
      </c>
      <c r="C37" s="7">
        <v>6</v>
      </c>
      <c r="D37" s="65">
        <v>2300</v>
      </c>
      <c r="E37" s="65"/>
      <c r="F37" s="65">
        <f>D37</f>
        <v>2300</v>
      </c>
      <c r="G37" s="66">
        <f t="shared" si="4"/>
        <v>13800</v>
      </c>
      <c r="H37" s="65">
        <f t="shared" si="1"/>
        <v>13800</v>
      </c>
      <c r="I37" s="65"/>
    </row>
    <row r="38" spans="1:9" ht="12.75">
      <c r="A38" s="63" t="s">
        <v>76</v>
      </c>
      <c r="B38" s="87" t="s">
        <v>77</v>
      </c>
      <c r="C38" s="7">
        <v>7</v>
      </c>
      <c r="D38" s="65">
        <v>2800</v>
      </c>
      <c r="E38" s="65"/>
      <c r="F38" s="65">
        <f>D38</f>
        <v>2800</v>
      </c>
      <c r="G38" s="66">
        <f t="shared" si="4"/>
        <v>19600</v>
      </c>
      <c r="H38" s="65">
        <f t="shared" si="1"/>
        <v>19600</v>
      </c>
      <c r="I38" s="65"/>
    </row>
    <row r="39" spans="1:9" ht="12.75">
      <c r="A39" s="63" t="s">
        <v>78</v>
      </c>
      <c r="B39" s="87" t="s">
        <v>79</v>
      </c>
      <c r="C39" s="69">
        <v>5</v>
      </c>
      <c r="D39" s="70">
        <v>2800</v>
      </c>
      <c r="E39" s="70"/>
      <c r="F39" s="65">
        <v>2800</v>
      </c>
      <c r="G39" s="71">
        <f t="shared" si="4"/>
        <v>14000</v>
      </c>
      <c r="H39" s="65">
        <f t="shared" si="1"/>
        <v>14000</v>
      </c>
      <c r="I39" s="65"/>
    </row>
    <row r="40" spans="1:9" ht="12.75">
      <c r="A40" s="88" t="s">
        <v>80</v>
      </c>
      <c r="B40" s="87" t="s">
        <v>81</v>
      </c>
      <c r="C40" s="69">
        <v>6</v>
      </c>
      <c r="D40" s="70">
        <v>2800</v>
      </c>
      <c r="E40" s="70"/>
      <c r="F40" s="65">
        <v>2800</v>
      </c>
      <c r="G40" s="71">
        <f t="shared" si="4"/>
        <v>16800</v>
      </c>
      <c r="H40" s="65">
        <f t="shared" si="1"/>
        <v>16800</v>
      </c>
      <c r="I40" s="65"/>
    </row>
    <row r="41" spans="1:9" ht="12.75">
      <c r="A41" s="88" t="s">
        <v>82</v>
      </c>
      <c r="B41" s="73" t="s">
        <v>83</v>
      </c>
      <c r="C41" s="89">
        <v>1</v>
      </c>
      <c r="D41" s="90">
        <v>1500</v>
      </c>
      <c r="E41" s="90">
        <v>500</v>
      </c>
      <c r="F41" s="90">
        <f>D41+E41</f>
        <v>2000</v>
      </c>
      <c r="G41" s="91">
        <f t="shared" si="4"/>
        <v>2000</v>
      </c>
      <c r="H41" s="90">
        <f t="shared" si="1"/>
        <v>1500</v>
      </c>
      <c r="I41" s="90">
        <f>E41*C41</f>
        <v>500</v>
      </c>
    </row>
    <row r="42" spans="1:9" ht="26.25" customHeight="1">
      <c r="A42" s="241" t="s">
        <v>16</v>
      </c>
      <c r="B42" s="241"/>
      <c r="C42" s="92">
        <f>SUM(C19:C41)</f>
        <v>55</v>
      </c>
      <c r="D42" s="93"/>
      <c r="E42" s="93"/>
      <c r="F42" s="93"/>
      <c r="G42" s="94">
        <f>SUM(G19:G41)</f>
        <v>404300</v>
      </c>
      <c r="H42" s="93">
        <f>SUM(H19:H41)</f>
        <v>316100</v>
      </c>
      <c r="I42" s="93">
        <f>SUM(I19:I41)</f>
        <v>88200</v>
      </c>
    </row>
  </sheetData>
  <sheetProtection selectLockedCells="1" selectUnlockedCells="1"/>
  <mergeCells count="14">
    <mergeCell ref="B5:F5"/>
    <mergeCell ref="A8:C8"/>
    <mergeCell ref="D9:E9"/>
    <mergeCell ref="F9:I9"/>
    <mergeCell ref="A10:C10"/>
    <mergeCell ref="D10:E10"/>
    <mergeCell ref="F10:I10"/>
    <mergeCell ref="A42:B42"/>
    <mergeCell ref="A11:D11"/>
    <mergeCell ref="F11:J11"/>
    <mergeCell ref="F12:G12"/>
    <mergeCell ref="G13:I13"/>
    <mergeCell ref="D16:F16"/>
    <mergeCell ref="H16:I16"/>
  </mergeCells>
  <printOptions/>
  <pageMargins left="1.292361111111111" right="0" top="0" bottom="0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G14" sqref="G14"/>
    </sheetView>
  </sheetViews>
  <sheetFormatPr defaultColWidth="9.140625" defaultRowHeight="12.75"/>
  <cols>
    <col min="1" max="1" width="4.8515625" style="0" customWidth="1"/>
    <col min="2" max="2" width="35.8515625" style="0" customWidth="1"/>
    <col min="3" max="3" width="10.7109375" style="0" customWidth="1"/>
    <col min="4" max="4" width="13.7109375" style="0" customWidth="1"/>
    <col min="5" max="6" width="14.00390625" style="0" customWidth="1"/>
    <col min="7" max="7" width="11.140625" style="0" customWidth="1"/>
    <col min="8" max="8" width="12.28125" style="0" customWidth="1"/>
    <col min="9" max="10" width="13.421875" style="0" customWidth="1"/>
  </cols>
  <sheetData>
    <row r="1" spans="7:11" ht="13.5" customHeight="1">
      <c r="G1" s="31"/>
      <c r="H1" s="31"/>
      <c r="I1" s="31"/>
      <c r="J1" s="32"/>
      <c r="K1" s="32"/>
    </row>
    <row r="2" spans="2:11" ht="17.25" customHeight="1">
      <c r="B2" s="246" t="s">
        <v>18</v>
      </c>
      <c r="C2" s="246"/>
      <c r="D2" s="246"/>
      <c r="E2" s="246"/>
      <c r="F2" s="246"/>
      <c r="G2" s="246"/>
      <c r="H2" s="31"/>
      <c r="I2" s="33"/>
      <c r="J2" s="33"/>
      <c r="K2" s="34"/>
    </row>
    <row r="3" spans="8:11" ht="15.75" customHeight="1">
      <c r="H3" s="35"/>
      <c r="I3" s="33"/>
      <c r="J3" s="33"/>
      <c r="K3" s="36"/>
    </row>
    <row r="4" spans="1:6" ht="12.75">
      <c r="A4" s="247"/>
      <c r="B4" s="247"/>
      <c r="C4" s="247"/>
      <c r="D4" s="38"/>
      <c r="E4" s="38"/>
      <c r="F4" s="38"/>
    </row>
    <row r="5" spans="4:12" ht="12.75">
      <c r="D5" s="95" t="s">
        <v>19</v>
      </c>
      <c r="E5" s="257" t="s">
        <v>84</v>
      </c>
      <c r="F5" s="257"/>
      <c r="G5" s="257"/>
      <c r="H5" s="32"/>
      <c r="I5" s="37"/>
      <c r="J5" s="37"/>
      <c r="K5" s="37"/>
      <c r="L5" s="37"/>
    </row>
    <row r="6" spans="1:8" ht="15.75">
      <c r="A6" s="249" t="s">
        <v>85</v>
      </c>
      <c r="B6" s="249"/>
      <c r="C6" s="249"/>
      <c r="D6" s="96">
        <v>16</v>
      </c>
      <c r="E6" s="258" t="s">
        <v>86</v>
      </c>
      <c r="F6" s="258"/>
      <c r="G6" s="258"/>
      <c r="H6" s="97"/>
    </row>
    <row r="7" spans="1:12" ht="15.75">
      <c r="A7" s="40"/>
      <c r="B7" s="40"/>
      <c r="C7" s="40"/>
      <c r="D7" s="40"/>
      <c r="E7" s="97"/>
      <c r="F7" s="97"/>
      <c r="G7" s="97"/>
      <c r="H7" s="259" t="s">
        <v>99</v>
      </c>
      <c r="I7" s="259"/>
      <c r="J7" s="259"/>
      <c r="K7" s="39"/>
      <c r="L7" s="39"/>
    </row>
    <row r="8" spans="1:12" ht="15.75">
      <c r="A8" s="40"/>
      <c r="B8" s="40"/>
      <c r="C8" s="40"/>
      <c r="D8" s="40"/>
      <c r="E8" s="97"/>
      <c r="F8" s="97"/>
      <c r="G8" s="253" t="s">
        <v>87</v>
      </c>
      <c r="H8" s="253"/>
      <c r="I8" s="253"/>
      <c r="J8" s="253"/>
      <c r="K8" s="39"/>
      <c r="L8" s="39"/>
    </row>
    <row r="9" spans="1:13" ht="15.75">
      <c r="A9" s="242"/>
      <c r="B9" s="242"/>
      <c r="C9" s="242"/>
      <c r="D9" s="242"/>
      <c r="E9" s="1"/>
      <c r="F9" s="1"/>
      <c r="G9" s="254" t="s">
        <v>88</v>
      </c>
      <c r="H9" s="254"/>
      <c r="I9" s="254"/>
      <c r="J9" s="254"/>
      <c r="K9" s="1"/>
      <c r="L9" s="1"/>
      <c r="M9" s="1"/>
    </row>
    <row r="10" spans="5:10" ht="12.75">
      <c r="E10" s="98"/>
      <c r="F10" s="98"/>
      <c r="H10" s="143" t="s">
        <v>89</v>
      </c>
      <c r="I10" s="99">
        <f>C38</f>
        <v>55</v>
      </c>
      <c r="J10" s="142" t="s">
        <v>90</v>
      </c>
    </row>
    <row r="11" spans="9:12" ht="12.75">
      <c r="I11" s="1"/>
      <c r="J11" s="1"/>
      <c r="K11" s="1"/>
      <c r="L11" s="100"/>
    </row>
    <row r="12" spans="1:10" ht="12.75">
      <c r="A12" s="101" t="s">
        <v>25</v>
      </c>
      <c r="B12" s="102" t="s">
        <v>26</v>
      </c>
      <c r="C12" s="103" t="s">
        <v>27</v>
      </c>
      <c r="D12" s="255" t="s">
        <v>28</v>
      </c>
      <c r="E12" s="255"/>
      <c r="F12" s="255"/>
      <c r="G12" s="255"/>
      <c r="H12" s="104" t="s">
        <v>29</v>
      </c>
      <c r="I12" s="105" t="s">
        <v>91</v>
      </c>
      <c r="J12" s="106" t="s">
        <v>92</v>
      </c>
    </row>
    <row r="13" spans="1:10" ht="12.75">
      <c r="A13" s="107" t="s">
        <v>31</v>
      </c>
      <c r="B13" s="51" t="s">
        <v>32</v>
      </c>
      <c r="C13" s="52" t="s">
        <v>33</v>
      </c>
      <c r="D13" s="32" t="s">
        <v>93</v>
      </c>
      <c r="E13" s="108" t="s">
        <v>93</v>
      </c>
      <c r="F13" s="32"/>
      <c r="G13" s="54" t="s">
        <v>36</v>
      </c>
      <c r="H13" s="55" t="s">
        <v>37</v>
      </c>
      <c r="I13" s="109" t="s">
        <v>94</v>
      </c>
      <c r="J13" s="110" t="s">
        <v>37</v>
      </c>
    </row>
    <row r="14" spans="1:10" ht="12.75">
      <c r="A14" s="111"/>
      <c r="B14" s="57"/>
      <c r="C14" s="58"/>
      <c r="D14" s="59" t="s">
        <v>95</v>
      </c>
      <c r="E14" s="60" t="s">
        <v>96</v>
      </c>
      <c r="F14" s="59"/>
      <c r="G14" s="61"/>
      <c r="H14" s="62"/>
      <c r="I14" s="112"/>
      <c r="J14" s="113"/>
    </row>
    <row r="15" spans="1:10" ht="12.75">
      <c r="A15" s="114" t="s">
        <v>40</v>
      </c>
      <c r="B15" s="64" t="s">
        <v>41</v>
      </c>
      <c r="C15" s="115">
        <v>1</v>
      </c>
      <c r="D15" s="116">
        <v>19800</v>
      </c>
      <c r="E15" s="116">
        <v>7700</v>
      </c>
      <c r="F15" s="202">
        <f>E15/(E15+D15)</f>
        <v>0.28</v>
      </c>
      <c r="G15" s="117">
        <f aca="true" t="shared" si="0" ref="G15:G31">D15+E15</f>
        <v>27500</v>
      </c>
      <c r="H15" s="118">
        <f>D15+E15</f>
        <v>27500</v>
      </c>
      <c r="I15" s="117">
        <f aca="true" t="shared" si="1" ref="I15:I37">H15*0.083</f>
        <v>2282.5</v>
      </c>
      <c r="J15" s="119">
        <f aca="true" t="shared" si="2" ref="J15:J37">H15+I15</f>
        <v>29782.5</v>
      </c>
    </row>
    <row r="16" spans="1:10" ht="12.75">
      <c r="A16" s="114" t="s">
        <v>42</v>
      </c>
      <c r="B16" s="64" t="s">
        <v>43</v>
      </c>
      <c r="C16" s="115">
        <v>1</v>
      </c>
      <c r="D16" s="116">
        <v>13000</v>
      </c>
      <c r="E16" s="116">
        <v>6000</v>
      </c>
      <c r="F16" s="202">
        <f aca="true" t="shared" si="3" ref="F16:F37">E16/(E16+D16)</f>
        <v>0.3157894736842105</v>
      </c>
      <c r="G16" s="117">
        <f t="shared" si="0"/>
        <v>19000</v>
      </c>
      <c r="H16" s="118">
        <f aca="true" t="shared" si="4" ref="H16:H24">G16*C16</f>
        <v>19000</v>
      </c>
      <c r="I16" s="117">
        <f t="shared" si="1"/>
        <v>1577</v>
      </c>
      <c r="J16" s="119">
        <f t="shared" si="2"/>
        <v>20577</v>
      </c>
    </row>
    <row r="17" spans="1:10" ht="12.75">
      <c r="A17" s="114" t="s">
        <v>44</v>
      </c>
      <c r="B17" s="64" t="s">
        <v>45</v>
      </c>
      <c r="C17" s="115">
        <v>1</v>
      </c>
      <c r="D17" s="116">
        <v>20500</v>
      </c>
      <c r="E17" s="116"/>
      <c r="F17" s="202">
        <f t="shared" si="3"/>
        <v>0</v>
      </c>
      <c r="G17" s="117">
        <f t="shared" si="0"/>
        <v>20500</v>
      </c>
      <c r="H17" s="118">
        <f t="shared" si="4"/>
        <v>20500</v>
      </c>
      <c r="I17" s="117">
        <f t="shared" si="1"/>
        <v>1701.5</v>
      </c>
      <c r="J17" s="119">
        <f t="shared" si="2"/>
        <v>22201.5</v>
      </c>
    </row>
    <row r="18" spans="1:10" ht="12.75">
      <c r="A18" s="114" t="s">
        <v>46</v>
      </c>
      <c r="B18" s="64" t="s">
        <v>45</v>
      </c>
      <c r="C18" s="115">
        <v>1</v>
      </c>
      <c r="D18" s="116">
        <v>8500</v>
      </c>
      <c r="E18" s="116">
        <v>12000</v>
      </c>
      <c r="F18" s="202">
        <f t="shared" si="3"/>
        <v>0.5853658536585366</v>
      </c>
      <c r="G18" s="117">
        <f t="shared" si="0"/>
        <v>20500</v>
      </c>
      <c r="H18" s="118">
        <f t="shared" si="4"/>
        <v>20500</v>
      </c>
      <c r="I18" s="117">
        <f t="shared" si="1"/>
        <v>1701.5</v>
      </c>
      <c r="J18" s="119">
        <f t="shared" si="2"/>
        <v>22201.5</v>
      </c>
    </row>
    <row r="19" spans="1:10" ht="12.75">
      <c r="A19" s="120" t="s">
        <v>47</v>
      </c>
      <c r="B19" s="68" t="s">
        <v>48</v>
      </c>
      <c r="C19" s="69">
        <v>1</v>
      </c>
      <c r="D19" s="121">
        <v>9500</v>
      </c>
      <c r="E19" s="121"/>
      <c r="F19" s="202">
        <f t="shared" si="3"/>
        <v>0</v>
      </c>
      <c r="G19" s="117">
        <f t="shared" si="0"/>
        <v>9500</v>
      </c>
      <c r="H19" s="122">
        <f t="shared" si="4"/>
        <v>9500</v>
      </c>
      <c r="I19" s="117">
        <f t="shared" si="1"/>
        <v>788.5</v>
      </c>
      <c r="J19" s="119">
        <f t="shared" si="2"/>
        <v>10288.5</v>
      </c>
    </row>
    <row r="20" spans="1:10" ht="12.75">
      <c r="A20" s="120" t="s">
        <v>49</v>
      </c>
      <c r="B20" s="68" t="s">
        <v>50</v>
      </c>
      <c r="C20" s="69">
        <v>1</v>
      </c>
      <c r="D20" s="121">
        <v>10000</v>
      </c>
      <c r="E20" s="121">
        <v>4000</v>
      </c>
      <c r="F20" s="202">
        <f t="shared" si="3"/>
        <v>0.2857142857142857</v>
      </c>
      <c r="G20" s="117">
        <f t="shared" si="0"/>
        <v>14000</v>
      </c>
      <c r="H20" s="122">
        <f t="shared" si="4"/>
        <v>14000</v>
      </c>
      <c r="I20" s="117">
        <f t="shared" si="1"/>
        <v>1162</v>
      </c>
      <c r="J20" s="119">
        <f t="shared" si="2"/>
        <v>15162</v>
      </c>
    </row>
    <row r="21" spans="1:10" ht="12.75">
      <c r="A21" s="123" t="s">
        <v>51</v>
      </c>
      <c r="B21" s="73" t="s">
        <v>52</v>
      </c>
      <c r="C21" s="74">
        <v>3</v>
      </c>
      <c r="D21" s="121">
        <v>15500</v>
      </c>
      <c r="E21" s="124"/>
      <c r="F21" s="202">
        <f t="shared" si="3"/>
        <v>0</v>
      </c>
      <c r="G21" s="125">
        <f t="shared" si="0"/>
        <v>15500</v>
      </c>
      <c r="H21" s="126">
        <f t="shared" si="4"/>
        <v>46500</v>
      </c>
      <c r="I21" s="117">
        <f t="shared" si="1"/>
        <v>3859.5</v>
      </c>
      <c r="J21" s="119">
        <f t="shared" si="2"/>
        <v>50359.5</v>
      </c>
    </row>
    <row r="22" spans="1:10" ht="12.75">
      <c r="A22" s="127" t="s">
        <v>53</v>
      </c>
      <c r="B22" s="73" t="s">
        <v>52</v>
      </c>
      <c r="C22" s="74">
        <v>1</v>
      </c>
      <c r="D22" s="121"/>
      <c r="E22" s="124">
        <v>15500</v>
      </c>
      <c r="F22" s="202">
        <f t="shared" si="3"/>
        <v>1</v>
      </c>
      <c r="G22" s="125">
        <f t="shared" si="0"/>
        <v>15500</v>
      </c>
      <c r="H22" s="128">
        <f t="shared" si="4"/>
        <v>15500</v>
      </c>
      <c r="I22" s="117">
        <f t="shared" si="1"/>
        <v>1286.5</v>
      </c>
      <c r="J22" s="119">
        <f t="shared" si="2"/>
        <v>16786.5</v>
      </c>
    </row>
    <row r="23" spans="1:10" ht="12.75">
      <c r="A23" s="129" t="s">
        <v>54</v>
      </c>
      <c r="B23" s="80" t="s">
        <v>55</v>
      </c>
      <c r="C23" s="9">
        <v>1</v>
      </c>
      <c r="D23" s="116">
        <v>15500</v>
      </c>
      <c r="E23" s="130">
        <v>5000</v>
      </c>
      <c r="F23" s="202">
        <f t="shared" si="3"/>
        <v>0.24390243902439024</v>
      </c>
      <c r="G23" s="117">
        <f t="shared" si="0"/>
        <v>20500</v>
      </c>
      <c r="H23" s="131">
        <f t="shared" si="4"/>
        <v>20500</v>
      </c>
      <c r="I23" s="117">
        <f t="shared" si="1"/>
        <v>1701.5</v>
      </c>
      <c r="J23" s="119">
        <f t="shared" si="2"/>
        <v>22201.5</v>
      </c>
    </row>
    <row r="24" spans="1:10" ht="12.75">
      <c r="A24" s="114" t="s">
        <v>56</v>
      </c>
      <c r="B24" s="64" t="s">
        <v>57</v>
      </c>
      <c r="C24" s="83">
        <v>1</v>
      </c>
      <c r="D24" s="132">
        <v>10000</v>
      </c>
      <c r="E24" s="133">
        <v>5500</v>
      </c>
      <c r="F24" s="202">
        <f t="shared" si="3"/>
        <v>0.3548387096774194</v>
      </c>
      <c r="G24" s="117">
        <f t="shared" si="0"/>
        <v>15500</v>
      </c>
      <c r="H24" s="131">
        <f t="shared" si="4"/>
        <v>15500</v>
      </c>
      <c r="I24" s="117">
        <f t="shared" si="1"/>
        <v>1286.5</v>
      </c>
      <c r="J24" s="119">
        <f t="shared" si="2"/>
        <v>16786.5</v>
      </c>
    </row>
    <row r="25" spans="1:10" ht="12.75">
      <c r="A25" s="120" t="s">
        <v>58</v>
      </c>
      <c r="B25" s="80" t="s">
        <v>59</v>
      </c>
      <c r="C25" s="12">
        <v>1</v>
      </c>
      <c r="D25" s="132">
        <v>4500</v>
      </c>
      <c r="E25" s="132"/>
      <c r="F25" s="202">
        <f t="shared" si="3"/>
        <v>0</v>
      </c>
      <c r="G25" s="117">
        <f t="shared" si="0"/>
        <v>4500</v>
      </c>
      <c r="H25" s="134">
        <f>G25</f>
        <v>4500</v>
      </c>
      <c r="I25" s="117">
        <f t="shared" si="1"/>
        <v>373.5</v>
      </c>
      <c r="J25" s="119">
        <f t="shared" si="2"/>
        <v>4873.5</v>
      </c>
    </row>
    <row r="26" spans="1:10" ht="12.75">
      <c r="A26" s="120" t="s">
        <v>60</v>
      </c>
      <c r="B26" s="80" t="s">
        <v>61</v>
      </c>
      <c r="C26" s="12">
        <v>1</v>
      </c>
      <c r="D26" s="132">
        <v>8500</v>
      </c>
      <c r="E26" s="132">
        <v>4000</v>
      </c>
      <c r="F26" s="202">
        <f t="shared" si="3"/>
        <v>0.32</v>
      </c>
      <c r="G26" s="117">
        <f t="shared" si="0"/>
        <v>12500</v>
      </c>
      <c r="H26" s="134">
        <f>G26</f>
        <v>12500</v>
      </c>
      <c r="I26" s="117">
        <f t="shared" si="1"/>
        <v>1037.5</v>
      </c>
      <c r="J26" s="119">
        <f t="shared" si="2"/>
        <v>13537.5</v>
      </c>
    </row>
    <row r="27" spans="1:10" ht="12.75">
      <c r="A27" s="120" t="s">
        <v>62</v>
      </c>
      <c r="B27" s="64" t="s">
        <v>63</v>
      </c>
      <c r="C27" s="115">
        <v>1</v>
      </c>
      <c r="D27" s="116">
        <v>8000</v>
      </c>
      <c r="E27" s="116">
        <v>4000</v>
      </c>
      <c r="F27" s="202">
        <f t="shared" si="3"/>
        <v>0.3333333333333333</v>
      </c>
      <c r="G27" s="117">
        <f t="shared" si="0"/>
        <v>12000</v>
      </c>
      <c r="H27" s="118">
        <f aca="true" t="shared" si="5" ref="H27:H37">G27*C27</f>
        <v>12000</v>
      </c>
      <c r="I27" s="117">
        <f t="shared" si="1"/>
        <v>996</v>
      </c>
      <c r="J27" s="119">
        <f t="shared" si="2"/>
        <v>12996</v>
      </c>
    </row>
    <row r="28" spans="1:10" ht="12.75">
      <c r="A28" s="120" t="s">
        <v>64</v>
      </c>
      <c r="B28" s="64" t="s">
        <v>65</v>
      </c>
      <c r="C28" s="115">
        <v>2</v>
      </c>
      <c r="D28" s="116">
        <v>8000</v>
      </c>
      <c r="E28" s="116">
        <v>2000</v>
      </c>
      <c r="F28" s="202">
        <f t="shared" si="3"/>
        <v>0.2</v>
      </c>
      <c r="G28" s="117">
        <f t="shared" si="0"/>
        <v>10000</v>
      </c>
      <c r="H28" s="118">
        <f t="shared" si="5"/>
        <v>20000</v>
      </c>
      <c r="I28" s="117">
        <f t="shared" si="1"/>
        <v>1660</v>
      </c>
      <c r="J28" s="119">
        <f t="shared" si="2"/>
        <v>21660</v>
      </c>
    </row>
    <row r="29" spans="1:10" ht="12.75">
      <c r="A29" s="120" t="s">
        <v>66</v>
      </c>
      <c r="B29" s="64" t="s">
        <v>67</v>
      </c>
      <c r="C29" s="115">
        <v>2</v>
      </c>
      <c r="D29" s="116">
        <v>8000</v>
      </c>
      <c r="E29" s="116">
        <v>4000</v>
      </c>
      <c r="F29" s="202">
        <f t="shared" si="3"/>
        <v>0.3333333333333333</v>
      </c>
      <c r="G29" s="117">
        <f t="shared" si="0"/>
        <v>12000</v>
      </c>
      <c r="H29" s="118">
        <f t="shared" si="5"/>
        <v>24000</v>
      </c>
      <c r="I29" s="117">
        <f t="shared" si="1"/>
        <v>1992</v>
      </c>
      <c r="J29" s="119">
        <f t="shared" si="2"/>
        <v>25992</v>
      </c>
    </row>
    <row r="30" spans="1:10" ht="12.75">
      <c r="A30" s="114" t="s">
        <v>68</v>
      </c>
      <c r="B30" s="64" t="s">
        <v>69</v>
      </c>
      <c r="C30" s="115">
        <v>2</v>
      </c>
      <c r="D30" s="116">
        <v>6000</v>
      </c>
      <c r="E30" s="116">
        <v>2000</v>
      </c>
      <c r="F30" s="202">
        <f t="shared" si="3"/>
        <v>0.25</v>
      </c>
      <c r="G30" s="117">
        <f t="shared" si="0"/>
        <v>8000</v>
      </c>
      <c r="H30" s="118">
        <f t="shared" si="5"/>
        <v>16000</v>
      </c>
      <c r="I30" s="117">
        <f t="shared" si="1"/>
        <v>1328</v>
      </c>
      <c r="J30" s="119">
        <f t="shared" si="2"/>
        <v>17328</v>
      </c>
    </row>
    <row r="31" spans="1:10" ht="12.75">
      <c r="A31" s="114" t="s">
        <v>70</v>
      </c>
      <c r="B31" s="64" t="s">
        <v>71</v>
      </c>
      <c r="C31" s="115">
        <v>2</v>
      </c>
      <c r="D31" s="116">
        <v>8000</v>
      </c>
      <c r="E31" s="116">
        <v>4000</v>
      </c>
      <c r="F31" s="202">
        <f t="shared" si="3"/>
        <v>0.3333333333333333</v>
      </c>
      <c r="G31" s="117">
        <f t="shared" si="0"/>
        <v>12000</v>
      </c>
      <c r="H31" s="118">
        <f t="shared" si="5"/>
        <v>24000</v>
      </c>
      <c r="I31" s="117">
        <f t="shared" si="1"/>
        <v>1992</v>
      </c>
      <c r="J31" s="119">
        <f t="shared" si="2"/>
        <v>25992</v>
      </c>
    </row>
    <row r="32" spans="1:10" ht="12.75">
      <c r="A32" s="114" t="s">
        <v>72</v>
      </c>
      <c r="B32" s="87" t="s">
        <v>73</v>
      </c>
      <c r="C32" s="115">
        <v>7</v>
      </c>
      <c r="D32" s="116">
        <v>2300</v>
      </c>
      <c r="E32" s="116"/>
      <c r="F32" s="202">
        <f t="shared" si="3"/>
        <v>0</v>
      </c>
      <c r="G32" s="117">
        <f>D32</f>
        <v>2300</v>
      </c>
      <c r="H32" s="118">
        <f t="shared" si="5"/>
        <v>16100</v>
      </c>
      <c r="I32" s="117">
        <f t="shared" si="1"/>
        <v>1336.3000000000002</v>
      </c>
      <c r="J32" s="119">
        <f t="shared" si="2"/>
        <v>17436.3</v>
      </c>
    </row>
    <row r="33" spans="1:10" ht="12.75">
      <c r="A33" s="114" t="s">
        <v>74</v>
      </c>
      <c r="B33" s="87" t="s">
        <v>75</v>
      </c>
      <c r="C33" s="115">
        <v>6</v>
      </c>
      <c r="D33" s="116">
        <v>2300</v>
      </c>
      <c r="E33" s="116"/>
      <c r="F33" s="202">
        <f t="shared" si="3"/>
        <v>0</v>
      </c>
      <c r="G33" s="117">
        <f>D33</f>
        <v>2300</v>
      </c>
      <c r="H33" s="118">
        <f t="shared" si="5"/>
        <v>13800</v>
      </c>
      <c r="I33" s="117">
        <f t="shared" si="1"/>
        <v>1145.4</v>
      </c>
      <c r="J33" s="119">
        <f t="shared" si="2"/>
        <v>14945.4</v>
      </c>
    </row>
    <row r="34" spans="1:10" ht="12.75">
      <c r="A34" s="114" t="s">
        <v>76</v>
      </c>
      <c r="B34" s="87" t="s">
        <v>77</v>
      </c>
      <c r="C34" s="115">
        <v>7</v>
      </c>
      <c r="D34" s="116">
        <v>2800</v>
      </c>
      <c r="E34" s="116"/>
      <c r="F34" s="202">
        <f t="shared" si="3"/>
        <v>0</v>
      </c>
      <c r="G34" s="117">
        <f>D34</f>
        <v>2800</v>
      </c>
      <c r="H34" s="118">
        <f t="shared" si="5"/>
        <v>19600</v>
      </c>
      <c r="I34" s="117">
        <f t="shared" si="1"/>
        <v>1626.8000000000002</v>
      </c>
      <c r="J34" s="119">
        <f t="shared" si="2"/>
        <v>21226.8</v>
      </c>
    </row>
    <row r="35" spans="1:10" ht="12.75">
      <c r="A35" s="114" t="s">
        <v>78</v>
      </c>
      <c r="B35" s="87" t="s">
        <v>79</v>
      </c>
      <c r="C35" s="69">
        <v>5</v>
      </c>
      <c r="D35" s="121">
        <v>2800</v>
      </c>
      <c r="E35" s="121"/>
      <c r="F35" s="202">
        <f t="shared" si="3"/>
        <v>0</v>
      </c>
      <c r="G35" s="117">
        <v>2800</v>
      </c>
      <c r="H35" s="122">
        <f t="shared" si="5"/>
        <v>14000</v>
      </c>
      <c r="I35" s="117">
        <f t="shared" si="1"/>
        <v>1162</v>
      </c>
      <c r="J35" s="119">
        <f t="shared" si="2"/>
        <v>15162</v>
      </c>
    </row>
    <row r="36" spans="1:10" ht="12.75">
      <c r="A36" s="135" t="s">
        <v>80</v>
      </c>
      <c r="B36" s="87" t="s">
        <v>81</v>
      </c>
      <c r="C36" s="69">
        <v>6</v>
      </c>
      <c r="D36" s="121">
        <v>2800</v>
      </c>
      <c r="E36" s="121"/>
      <c r="F36" s="202">
        <f t="shared" si="3"/>
        <v>0</v>
      </c>
      <c r="G36" s="117">
        <v>2800</v>
      </c>
      <c r="H36" s="122">
        <f t="shared" si="5"/>
        <v>16800</v>
      </c>
      <c r="I36" s="117">
        <f t="shared" si="1"/>
        <v>1394.4</v>
      </c>
      <c r="J36" s="119">
        <f t="shared" si="2"/>
        <v>18194.4</v>
      </c>
    </row>
    <row r="37" spans="1:10" ht="12.75">
      <c r="A37" s="135" t="s">
        <v>82</v>
      </c>
      <c r="B37" s="73" t="s">
        <v>83</v>
      </c>
      <c r="C37" s="89">
        <v>1</v>
      </c>
      <c r="D37" s="136">
        <v>1500</v>
      </c>
      <c r="E37" s="136">
        <v>500</v>
      </c>
      <c r="F37" s="202">
        <f t="shared" si="3"/>
        <v>0.25</v>
      </c>
      <c r="G37" s="137">
        <f>D37+E37</f>
        <v>2000</v>
      </c>
      <c r="H37" s="138">
        <f t="shared" si="5"/>
        <v>2000</v>
      </c>
      <c r="I37" s="117">
        <f t="shared" si="1"/>
        <v>166</v>
      </c>
      <c r="J37" s="119">
        <f t="shared" si="2"/>
        <v>2166</v>
      </c>
    </row>
    <row r="38" spans="1:10" ht="26.25" customHeight="1">
      <c r="A38" s="256" t="s">
        <v>16</v>
      </c>
      <c r="B38" s="256"/>
      <c r="C38" s="139">
        <f aca="true" t="shared" si="6" ref="C38:J38">SUM(C15:C37)</f>
        <v>55</v>
      </c>
      <c r="D38" s="140">
        <f t="shared" si="6"/>
        <v>187800</v>
      </c>
      <c r="E38" s="140">
        <f t="shared" si="6"/>
        <v>76200</v>
      </c>
      <c r="F38" s="140">
        <f t="shared" si="6"/>
        <v>5.085610761758843</v>
      </c>
      <c r="G38" s="140">
        <f t="shared" si="6"/>
        <v>264000</v>
      </c>
      <c r="H38" s="140">
        <f t="shared" si="6"/>
        <v>404300</v>
      </c>
      <c r="I38" s="140">
        <f t="shared" si="6"/>
        <v>33556.9</v>
      </c>
      <c r="J38" s="141">
        <f t="shared" si="6"/>
        <v>437856.9</v>
      </c>
    </row>
    <row r="41" spans="2:10" ht="12.75">
      <c r="B41" t="s">
        <v>41</v>
      </c>
      <c r="I41" s="252" t="s">
        <v>97</v>
      </c>
      <c r="J41" s="252"/>
    </row>
    <row r="43" spans="2:10" ht="12.75">
      <c r="B43" t="s">
        <v>45</v>
      </c>
      <c r="I43" s="252" t="s">
        <v>98</v>
      </c>
      <c r="J43" s="252"/>
    </row>
  </sheetData>
  <sheetProtection selectLockedCells="1" selectUnlockedCells="1"/>
  <mergeCells count="13">
    <mergeCell ref="B2:G2"/>
    <mergeCell ref="A4:C4"/>
    <mergeCell ref="E5:G5"/>
    <mergeCell ref="A6:C6"/>
    <mergeCell ref="E6:G6"/>
    <mergeCell ref="H7:J7"/>
    <mergeCell ref="I43:J43"/>
    <mergeCell ref="G8:J8"/>
    <mergeCell ref="A9:D9"/>
    <mergeCell ref="G9:J9"/>
    <mergeCell ref="D12:G12"/>
    <mergeCell ref="A38:B38"/>
    <mergeCell ref="I41:J41"/>
  </mergeCells>
  <printOptions/>
  <pageMargins left="1.292361111111111" right="0" top="0" bottom="0" header="0.5118055555555555" footer="0.5118055555555555"/>
  <pageSetup horizontalDpi="300" verticalDpi="3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="80" zoomScaleNormal="80" zoomScalePageLayoutView="0" workbookViewId="0" topLeftCell="A1">
      <selection activeCell="A1" sqref="A1:Z42"/>
    </sheetView>
  </sheetViews>
  <sheetFormatPr defaultColWidth="9.140625" defaultRowHeight="15" customHeight="1"/>
  <cols>
    <col min="1" max="1" width="4.57421875" style="0" customWidth="1"/>
    <col min="2" max="2" width="35.00390625" style="0" customWidth="1"/>
    <col min="3" max="3" width="7.28125" style="0" customWidth="1"/>
    <col min="4" max="4" width="10.140625" style="0" customWidth="1"/>
    <col min="5" max="5" width="11.00390625" style="0" customWidth="1"/>
    <col min="6" max="6" width="8.7109375" style="0" hidden="1" customWidth="1"/>
    <col min="7" max="7" width="11.00390625" style="0" customWidth="1"/>
    <col min="8" max="8" width="12.28125" style="0" customWidth="1"/>
    <col min="9" max="13" width="8.7109375" style="0" hidden="1" customWidth="1"/>
    <col min="14" max="14" width="11.140625" style="0" customWidth="1"/>
    <col min="15" max="15" width="10.00390625" style="0" customWidth="1"/>
    <col min="16" max="16" width="13.00390625" style="0" customWidth="1"/>
    <col min="17" max="17" width="13.421875" style="0" customWidth="1"/>
    <col min="18" max="19" width="11.57421875" style="0" customWidth="1"/>
    <col min="20" max="20" width="13.421875" style="0" customWidth="1"/>
    <col min="21" max="21" width="12.57421875" style="0" customWidth="1"/>
    <col min="22" max="22" width="15.140625" style="0" customWidth="1"/>
    <col min="23" max="23" width="14.57421875" style="0" customWidth="1"/>
    <col min="24" max="24" width="11.421875" style="0" customWidth="1"/>
  </cols>
  <sheetData>
    <row r="1" spans="1:23" ht="19.5" customHeight="1">
      <c r="A1" s="203"/>
      <c r="B1" s="204" t="s">
        <v>89</v>
      </c>
      <c r="C1" s="205">
        <f>C28</f>
        <v>55</v>
      </c>
      <c r="D1" s="206" t="s">
        <v>90</v>
      </c>
      <c r="E1" s="274" t="s">
        <v>85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20"/>
      <c r="S1" s="220"/>
      <c r="T1" s="203"/>
      <c r="U1" s="219" t="s">
        <v>136</v>
      </c>
      <c r="V1" s="203"/>
      <c r="W1" s="203"/>
    </row>
    <row r="2" spans="1:23" ht="15" customHeight="1">
      <c r="A2" s="270" t="s">
        <v>129</v>
      </c>
      <c r="B2" s="276" t="s">
        <v>128</v>
      </c>
      <c r="C2" s="270" t="s">
        <v>127</v>
      </c>
      <c r="D2" s="267" t="s">
        <v>125</v>
      </c>
      <c r="E2" s="267"/>
      <c r="F2" s="267"/>
      <c r="G2" s="267"/>
      <c r="H2" s="267"/>
      <c r="I2" s="214" t="s">
        <v>91</v>
      </c>
      <c r="J2" s="273" t="s">
        <v>28</v>
      </c>
      <c r="K2" s="273"/>
      <c r="L2" s="214" t="s">
        <v>92</v>
      </c>
      <c r="M2" s="214"/>
      <c r="N2" s="273" t="s">
        <v>126</v>
      </c>
      <c r="O2" s="273"/>
      <c r="P2" s="273"/>
      <c r="Q2" s="273"/>
      <c r="R2" s="221"/>
      <c r="S2" s="221"/>
      <c r="T2" s="264" t="s">
        <v>124</v>
      </c>
      <c r="U2" s="264" t="s">
        <v>131</v>
      </c>
      <c r="V2" s="264" t="s">
        <v>120</v>
      </c>
      <c r="W2" s="260" t="s">
        <v>135</v>
      </c>
    </row>
    <row r="3" spans="1:23" ht="15" customHeight="1">
      <c r="A3" s="271"/>
      <c r="B3" s="277"/>
      <c r="C3" s="271"/>
      <c r="D3" s="208"/>
      <c r="E3" s="208"/>
      <c r="F3" s="208"/>
      <c r="G3" s="275" t="s">
        <v>122</v>
      </c>
      <c r="H3" s="264" t="s">
        <v>121</v>
      </c>
      <c r="I3" s="214" t="s">
        <v>94</v>
      </c>
      <c r="J3" s="267" t="s">
        <v>119</v>
      </c>
      <c r="K3" s="267"/>
      <c r="L3" s="214" t="s">
        <v>37</v>
      </c>
      <c r="M3" s="214"/>
      <c r="N3" s="273" t="s">
        <v>123</v>
      </c>
      <c r="O3" s="273"/>
      <c r="P3" s="275" t="s">
        <v>122</v>
      </c>
      <c r="Q3" s="264" t="s">
        <v>121</v>
      </c>
      <c r="R3" s="273" t="s">
        <v>123</v>
      </c>
      <c r="S3" s="273"/>
      <c r="T3" s="265"/>
      <c r="U3" s="265"/>
      <c r="V3" s="265"/>
      <c r="W3" s="261"/>
    </row>
    <row r="4" spans="1:23" ht="15" customHeight="1">
      <c r="A4" s="272"/>
      <c r="B4" s="278"/>
      <c r="C4" s="272"/>
      <c r="D4" s="208" t="s">
        <v>117</v>
      </c>
      <c r="E4" s="208" t="s">
        <v>116</v>
      </c>
      <c r="F4" s="208"/>
      <c r="G4" s="275"/>
      <c r="H4" s="266"/>
      <c r="I4" s="215"/>
      <c r="J4" s="208" t="s">
        <v>117</v>
      </c>
      <c r="K4" s="208" t="s">
        <v>116</v>
      </c>
      <c r="L4" s="215"/>
      <c r="M4" s="215"/>
      <c r="N4" s="208" t="s">
        <v>117</v>
      </c>
      <c r="O4" s="208" t="s">
        <v>116</v>
      </c>
      <c r="P4" s="275"/>
      <c r="Q4" s="266"/>
      <c r="R4" s="208" t="s">
        <v>117</v>
      </c>
      <c r="S4" s="208" t="s">
        <v>116</v>
      </c>
      <c r="T4" s="266"/>
      <c r="U4" s="266"/>
      <c r="V4" s="266"/>
      <c r="W4" s="262"/>
    </row>
    <row r="5" spans="1:24" ht="15" customHeight="1">
      <c r="A5" s="208" t="s">
        <v>40</v>
      </c>
      <c r="B5" s="217" t="s">
        <v>41</v>
      </c>
      <c r="C5" s="208">
        <v>1</v>
      </c>
      <c r="D5" s="218">
        <v>19800</v>
      </c>
      <c r="E5" s="218">
        <v>7700</v>
      </c>
      <c r="F5" s="218">
        <f>E5/(D5+E5)</f>
        <v>0.28</v>
      </c>
      <c r="G5" s="218">
        <f aca="true" t="shared" si="0" ref="G5:G21">D5+E5</f>
        <v>27500</v>
      </c>
      <c r="H5" s="218">
        <f>D5+E5</f>
        <v>27500</v>
      </c>
      <c r="I5" s="218">
        <f>H5*0.083</f>
        <v>2282.5</v>
      </c>
      <c r="J5" s="218">
        <f aca="true" t="shared" si="1" ref="J5:J11">L5*(1-F5)</f>
        <v>21443.399999999998</v>
      </c>
      <c r="K5" s="218">
        <f>L5*F5</f>
        <v>8339.1</v>
      </c>
      <c r="L5" s="218">
        <f aca="true" t="shared" si="2" ref="L5:L27">H5+I5</f>
        <v>29782.5</v>
      </c>
      <c r="M5" s="218">
        <f>H5-0.13*H5</f>
        <v>23925</v>
      </c>
      <c r="N5" s="218">
        <f>D5*1.15</f>
        <v>22770</v>
      </c>
      <c r="O5" s="218">
        <f>E5*1.15</f>
        <v>8855</v>
      </c>
      <c r="P5" s="218">
        <f>(N5+O5)</f>
        <v>31625</v>
      </c>
      <c r="Q5" s="218">
        <f>P5*C5</f>
        <v>31625</v>
      </c>
      <c r="R5" s="218"/>
      <c r="S5" s="218">
        <f>E5*C5</f>
        <v>7700</v>
      </c>
      <c r="T5" s="209">
        <f>Q5*0.083</f>
        <v>2624.875</v>
      </c>
      <c r="U5" s="209">
        <f>Q5+T5</f>
        <v>34249.875</v>
      </c>
      <c r="V5" s="209">
        <f>U5*0.29</f>
        <v>9932.463749999999</v>
      </c>
      <c r="W5" s="209">
        <f>Q5-0.13*Q5</f>
        <v>27513.75</v>
      </c>
      <c r="X5" s="201"/>
    </row>
    <row r="6" spans="1:24" ht="15" customHeight="1">
      <c r="A6" s="208" t="s">
        <v>42</v>
      </c>
      <c r="B6" s="217" t="s">
        <v>43</v>
      </c>
      <c r="C6" s="208">
        <v>1</v>
      </c>
      <c r="D6" s="218">
        <v>13000</v>
      </c>
      <c r="E6" s="218">
        <v>6000</v>
      </c>
      <c r="F6" s="218">
        <f aca="true" t="shared" si="3" ref="F6:F27">E6/(D6+E6)</f>
        <v>0.3157894736842105</v>
      </c>
      <c r="G6" s="218">
        <f t="shared" si="0"/>
        <v>19000</v>
      </c>
      <c r="H6" s="218">
        <f aca="true" t="shared" si="4" ref="H6:H14">G6*C6</f>
        <v>19000</v>
      </c>
      <c r="I6" s="218">
        <f aca="true" t="shared" si="5" ref="I6:I27">H6*0.083</f>
        <v>1577</v>
      </c>
      <c r="J6" s="218">
        <f t="shared" si="1"/>
        <v>14079</v>
      </c>
      <c r="K6" s="218">
        <f>L6*F6</f>
        <v>6498</v>
      </c>
      <c r="L6" s="218">
        <f t="shared" si="2"/>
        <v>20577</v>
      </c>
      <c r="M6" s="218">
        <f aca="true" t="shared" si="6" ref="M6:M27">H6-0.13*H6</f>
        <v>16530</v>
      </c>
      <c r="N6" s="218">
        <f>D6*1.15</f>
        <v>14949.999999999998</v>
      </c>
      <c r="O6" s="218">
        <f>E6*1.15</f>
        <v>6899.999999999999</v>
      </c>
      <c r="P6" s="218">
        <f aca="true" t="shared" si="7" ref="P6:P27">(N6+O6)</f>
        <v>21849.999999999996</v>
      </c>
      <c r="Q6" s="218">
        <f aca="true" t="shared" si="8" ref="Q6:Q27">P6*C6</f>
        <v>21849.999999999996</v>
      </c>
      <c r="R6" s="218"/>
      <c r="S6" s="218">
        <f aca="true" t="shared" si="9" ref="S6:S27">E6*C6</f>
        <v>6000</v>
      </c>
      <c r="T6" s="209">
        <f aca="true" t="shared" si="10" ref="T6:T27">Q6*0.083</f>
        <v>1813.5499999999997</v>
      </c>
      <c r="U6" s="209">
        <f aca="true" t="shared" si="11" ref="U6:U27">Q6+T6</f>
        <v>23663.549999999996</v>
      </c>
      <c r="V6" s="209">
        <f aca="true" t="shared" si="12" ref="V6:V27">U6*0.29</f>
        <v>6862.429499999998</v>
      </c>
      <c r="W6" s="209">
        <f aca="true" t="shared" si="13" ref="W6:W27">Q6-0.13*Q6</f>
        <v>19009.499999999996</v>
      </c>
      <c r="X6" s="201"/>
    </row>
    <row r="7" spans="1:24" ht="15" customHeight="1">
      <c r="A7" s="208" t="s">
        <v>44</v>
      </c>
      <c r="B7" s="217" t="s">
        <v>45</v>
      </c>
      <c r="C7" s="208">
        <v>1</v>
      </c>
      <c r="D7" s="218">
        <v>20500</v>
      </c>
      <c r="E7" s="218"/>
      <c r="F7" s="218">
        <f t="shared" si="3"/>
        <v>0</v>
      </c>
      <c r="G7" s="218">
        <f t="shared" si="0"/>
        <v>20500</v>
      </c>
      <c r="H7" s="218">
        <f t="shared" si="4"/>
        <v>20500</v>
      </c>
      <c r="I7" s="218">
        <f t="shared" si="5"/>
        <v>1701.5</v>
      </c>
      <c r="J7" s="218">
        <f t="shared" si="1"/>
        <v>22201.5</v>
      </c>
      <c r="K7" s="218"/>
      <c r="L7" s="218">
        <f t="shared" si="2"/>
        <v>22201.5</v>
      </c>
      <c r="M7" s="218">
        <f t="shared" si="6"/>
        <v>17835</v>
      </c>
      <c r="N7" s="218">
        <f>D7*1.15</f>
        <v>23574.999999999996</v>
      </c>
      <c r="O7" s="218"/>
      <c r="P7" s="218">
        <f t="shared" si="7"/>
        <v>23574.999999999996</v>
      </c>
      <c r="Q7" s="218">
        <f t="shared" si="8"/>
        <v>23574.999999999996</v>
      </c>
      <c r="R7" s="218"/>
      <c r="S7" s="218">
        <f t="shared" si="9"/>
        <v>0</v>
      </c>
      <c r="T7" s="209">
        <f t="shared" si="10"/>
        <v>1956.725</v>
      </c>
      <c r="U7" s="209">
        <f t="shared" si="11"/>
        <v>25531.724999999995</v>
      </c>
      <c r="V7" s="209">
        <f t="shared" si="12"/>
        <v>7404.200249999998</v>
      </c>
      <c r="W7" s="209">
        <f t="shared" si="13"/>
        <v>20510.249999999996</v>
      </c>
      <c r="X7" s="201"/>
    </row>
    <row r="8" spans="1:24" ht="15" customHeight="1">
      <c r="A8" s="208" t="s">
        <v>46</v>
      </c>
      <c r="B8" s="217" t="s">
        <v>45</v>
      </c>
      <c r="C8" s="208">
        <v>1</v>
      </c>
      <c r="D8" s="218">
        <v>8500</v>
      </c>
      <c r="E8" s="218">
        <v>12000</v>
      </c>
      <c r="F8" s="218">
        <f t="shared" si="3"/>
        <v>0.5853658536585366</v>
      </c>
      <c r="G8" s="218">
        <f t="shared" si="0"/>
        <v>20500</v>
      </c>
      <c r="H8" s="218">
        <f t="shared" si="4"/>
        <v>20500</v>
      </c>
      <c r="I8" s="218">
        <f t="shared" si="5"/>
        <v>1701.5</v>
      </c>
      <c r="J8" s="218">
        <f t="shared" si="1"/>
        <v>9205.5</v>
      </c>
      <c r="K8" s="218">
        <f>L8*F8</f>
        <v>12996</v>
      </c>
      <c r="L8" s="218">
        <f t="shared" si="2"/>
        <v>22201.5</v>
      </c>
      <c r="M8" s="218">
        <f t="shared" si="6"/>
        <v>17835</v>
      </c>
      <c r="N8" s="218">
        <f aca="true" t="shared" si="14" ref="N8:N27">D8*1.15</f>
        <v>9775</v>
      </c>
      <c r="O8" s="218">
        <f>E8*1.15</f>
        <v>13799.999999999998</v>
      </c>
      <c r="P8" s="218">
        <f t="shared" si="7"/>
        <v>23575</v>
      </c>
      <c r="Q8" s="218">
        <f t="shared" si="8"/>
        <v>23575</v>
      </c>
      <c r="R8" s="218"/>
      <c r="S8" s="218">
        <f t="shared" si="9"/>
        <v>12000</v>
      </c>
      <c r="T8" s="209">
        <f t="shared" si="10"/>
        <v>1956.7250000000001</v>
      </c>
      <c r="U8" s="209">
        <f t="shared" si="11"/>
        <v>25531.725</v>
      </c>
      <c r="V8" s="209">
        <f t="shared" si="12"/>
        <v>7404.200249999999</v>
      </c>
      <c r="W8" s="209">
        <f t="shared" si="13"/>
        <v>20510.25</v>
      </c>
      <c r="X8" s="201"/>
    </row>
    <row r="9" spans="1:24" ht="15" customHeight="1">
      <c r="A9" s="208" t="s">
        <v>47</v>
      </c>
      <c r="B9" s="217" t="s">
        <v>48</v>
      </c>
      <c r="C9" s="208">
        <v>1</v>
      </c>
      <c r="D9" s="218">
        <v>9500</v>
      </c>
      <c r="E9" s="218"/>
      <c r="F9" s="218">
        <f t="shared" si="3"/>
        <v>0</v>
      </c>
      <c r="G9" s="218">
        <f t="shared" si="0"/>
        <v>9500</v>
      </c>
      <c r="H9" s="218">
        <f t="shared" si="4"/>
        <v>9500</v>
      </c>
      <c r="I9" s="218">
        <f t="shared" si="5"/>
        <v>788.5</v>
      </c>
      <c r="J9" s="218">
        <f t="shared" si="1"/>
        <v>10288.5</v>
      </c>
      <c r="K9" s="218"/>
      <c r="L9" s="218">
        <f t="shared" si="2"/>
        <v>10288.5</v>
      </c>
      <c r="M9" s="218">
        <f t="shared" si="6"/>
        <v>8265</v>
      </c>
      <c r="N9" s="218">
        <f t="shared" si="14"/>
        <v>10925</v>
      </c>
      <c r="O9" s="218"/>
      <c r="P9" s="218">
        <f t="shared" si="7"/>
        <v>10925</v>
      </c>
      <c r="Q9" s="218">
        <f t="shared" si="8"/>
        <v>10925</v>
      </c>
      <c r="R9" s="218"/>
      <c r="S9" s="218">
        <f t="shared" si="9"/>
        <v>0</v>
      </c>
      <c r="T9" s="209">
        <f t="shared" si="10"/>
        <v>906.7750000000001</v>
      </c>
      <c r="U9" s="209">
        <f t="shared" si="11"/>
        <v>11831.775</v>
      </c>
      <c r="V9" s="209">
        <f t="shared" si="12"/>
        <v>3431.2147499999996</v>
      </c>
      <c r="W9" s="209">
        <f t="shared" si="13"/>
        <v>9504.75</v>
      </c>
      <c r="X9" s="201"/>
    </row>
    <row r="10" spans="1:24" ht="15" customHeight="1">
      <c r="A10" s="208" t="s">
        <v>49</v>
      </c>
      <c r="B10" s="217" t="s">
        <v>132</v>
      </c>
      <c r="C10" s="208">
        <v>1</v>
      </c>
      <c r="D10" s="218">
        <v>10000</v>
      </c>
      <c r="E10" s="218">
        <v>4000</v>
      </c>
      <c r="F10" s="218">
        <f t="shared" si="3"/>
        <v>0.2857142857142857</v>
      </c>
      <c r="G10" s="218">
        <f t="shared" si="0"/>
        <v>14000</v>
      </c>
      <c r="H10" s="218">
        <f t="shared" si="4"/>
        <v>14000</v>
      </c>
      <c r="I10" s="218">
        <f t="shared" si="5"/>
        <v>1162</v>
      </c>
      <c r="J10" s="218">
        <f t="shared" si="1"/>
        <v>10830</v>
      </c>
      <c r="K10" s="218">
        <f>L10*F10</f>
        <v>4332</v>
      </c>
      <c r="L10" s="218">
        <f t="shared" si="2"/>
        <v>15162</v>
      </c>
      <c r="M10" s="218">
        <f t="shared" si="6"/>
        <v>12180</v>
      </c>
      <c r="N10" s="218">
        <f t="shared" si="14"/>
        <v>11500</v>
      </c>
      <c r="O10" s="218">
        <f aca="true" t="shared" si="15" ref="O10:O27">E10*1.15</f>
        <v>4600</v>
      </c>
      <c r="P10" s="218">
        <f t="shared" si="7"/>
        <v>16100</v>
      </c>
      <c r="Q10" s="218">
        <f t="shared" si="8"/>
        <v>16100</v>
      </c>
      <c r="R10" s="218"/>
      <c r="S10" s="218">
        <f t="shared" si="9"/>
        <v>4000</v>
      </c>
      <c r="T10" s="209">
        <f t="shared" si="10"/>
        <v>1336.3000000000002</v>
      </c>
      <c r="U10" s="209">
        <f t="shared" si="11"/>
        <v>17436.3</v>
      </c>
      <c r="V10" s="209">
        <f t="shared" si="12"/>
        <v>5056.526999999999</v>
      </c>
      <c r="W10" s="209">
        <f t="shared" si="13"/>
        <v>14007</v>
      </c>
      <c r="X10" s="201"/>
    </row>
    <row r="11" spans="1:24" ht="15" customHeight="1">
      <c r="A11" s="208" t="s">
        <v>51</v>
      </c>
      <c r="B11" s="217" t="s">
        <v>52</v>
      </c>
      <c r="C11" s="208">
        <v>3</v>
      </c>
      <c r="D11" s="218">
        <v>15500</v>
      </c>
      <c r="E11" s="218"/>
      <c r="F11" s="218">
        <f t="shared" si="3"/>
        <v>0</v>
      </c>
      <c r="G11" s="218">
        <f t="shared" si="0"/>
        <v>15500</v>
      </c>
      <c r="H11" s="218">
        <f>G11*C11</f>
        <v>46500</v>
      </c>
      <c r="I11" s="218">
        <f t="shared" si="5"/>
        <v>3859.5</v>
      </c>
      <c r="J11" s="218">
        <f t="shared" si="1"/>
        <v>50359.5</v>
      </c>
      <c r="K11" s="218"/>
      <c r="L11" s="218">
        <f t="shared" si="2"/>
        <v>50359.5</v>
      </c>
      <c r="M11" s="218">
        <f t="shared" si="6"/>
        <v>40455</v>
      </c>
      <c r="N11" s="218">
        <f t="shared" si="14"/>
        <v>17825</v>
      </c>
      <c r="O11" s="218"/>
      <c r="P11" s="218">
        <f t="shared" si="7"/>
        <v>17825</v>
      </c>
      <c r="Q11" s="218">
        <f t="shared" si="8"/>
        <v>53475</v>
      </c>
      <c r="R11" s="218"/>
      <c r="S11" s="218">
        <f t="shared" si="9"/>
        <v>0</v>
      </c>
      <c r="T11" s="209">
        <f t="shared" si="10"/>
        <v>4438.425</v>
      </c>
      <c r="U11" s="209">
        <f t="shared" si="11"/>
        <v>57913.425</v>
      </c>
      <c r="V11" s="209">
        <f t="shared" si="12"/>
        <v>16794.89325</v>
      </c>
      <c r="W11" s="209">
        <f t="shared" si="13"/>
        <v>46523.25</v>
      </c>
      <c r="X11" s="201">
        <f>W11/3</f>
        <v>15507.75</v>
      </c>
    </row>
    <row r="12" spans="1:24" ht="15" customHeight="1">
      <c r="A12" s="208" t="s">
        <v>53</v>
      </c>
      <c r="B12" s="217" t="s">
        <v>52</v>
      </c>
      <c r="C12" s="208">
        <v>1</v>
      </c>
      <c r="D12" s="218"/>
      <c r="E12" s="218">
        <v>15500</v>
      </c>
      <c r="F12" s="218">
        <f t="shared" si="3"/>
        <v>1</v>
      </c>
      <c r="G12" s="218">
        <f t="shared" si="0"/>
        <v>15500</v>
      </c>
      <c r="H12" s="218">
        <f t="shared" si="4"/>
        <v>15500</v>
      </c>
      <c r="I12" s="218">
        <f t="shared" si="5"/>
        <v>1286.5</v>
      </c>
      <c r="J12" s="218"/>
      <c r="K12" s="218">
        <f aca="true" t="shared" si="16" ref="K12:K27">L12*F12</f>
        <v>16786.5</v>
      </c>
      <c r="L12" s="218">
        <f t="shared" si="2"/>
        <v>16786.5</v>
      </c>
      <c r="M12" s="218">
        <f t="shared" si="6"/>
        <v>13485</v>
      </c>
      <c r="N12" s="218"/>
      <c r="O12" s="218">
        <f t="shared" si="15"/>
        <v>17825</v>
      </c>
      <c r="P12" s="218">
        <f t="shared" si="7"/>
        <v>17825</v>
      </c>
      <c r="Q12" s="218">
        <f t="shared" si="8"/>
        <v>17825</v>
      </c>
      <c r="R12" s="218"/>
      <c r="S12" s="218">
        <f t="shared" si="9"/>
        <v>15500</v>
      </c>
      <c r="T12" s="209">
        <f t="shared" si="10"/>
        <v>1479.4750000000001</v>
      </c>
      <c r="U12" s="209">
        <f t="shared" si="11"/>
        <v>19304.475</v>
      </c>
      <c r="V12" s="209">
        <f t="shared" si="12"/>
        <v>5598.297749999999</v>
      </c>
      <c r="W12" s="209">
        <f t="shared" si="13"/>
        <v>15507.75</v>
      </c>
      <c r="X12" s="201"/>
    </row>
    <row r="13" spans="1:24" ht="32.25" customHeight="1">
      <c r="A13" s="208" t="s">
        <v>54</v>
      </c>
      <c r="B13" s="217" t="s">
        <v>113</v>
      </c>
      <c r="C13" s="208">
        <v>1</v>
      </c>
      <c r="D13" s="218">
        <v>15500</v>
      </c>
      <c r="E13" s="218">
        <v>5000</v>
      </c>
      <c r="F13" s="218">
        <f t="shared" si="3"/>
        <v>0.24390243902439024</v>
      </c>
      <c r="G13" s="218">
        <f t="shared" si="0"/>
        <v>20500</v>
      </c>
      <c r="H13" s="218">
        <f t="shared" si="4"/>
        <v>20500</v>
      </c>
      <c r="I13" s="218">
        <f t="shared" si="5"/>
        <v>1701.5</v>
      </c>
      <c r="J13" s="218">
        <f aca="true" t="shared" si="17" ref="J13:J27">L13*(1-F13)</f>
        <v>16786.5</v>
      </c>
      <c r="K13" s="218">
        <f t="shared" si="16"/>
        <v>5415</v>
      </c>
      <c r="L13" s="218">
        <f t="shared" si="2"/>
        <v>22201.5</v>
      </c>
      <c r="M13" s="218">
        <f t="shared" si="6"/>
        <v>17835</v>
      </c>
      <c r="N13" s="218">
        <f t="shared" si="14"/>
        <v>17825</v>
      </c>
      <c r="O13" s="218">
        <f t="shared" si="15"/>
        <v>5750</v>
      </c>
      <c r="P13" s="218">
        <f t="shared" si="7"/>
        <v>23575</v>
      </c>
      <c r="Q13" s="218">
        <f t="shared" si="8"/>
        <v>23575</v>
      </c>
      <c r="R13" s="218"/>
      <c r="S13" s="218">
        <f t="shared" si="9"/>
        <v>5000</v>
      </c>
      <c r="T13" s="209">
        <f t="shared" si="10"/>
        <v>1956.7250000000001</v>
      </c>
      <c r="U13" s="209">
        <f t="shared" si="11"/>
        <v>25531.725</v>
      </c>
      <c r="V13" s="209">
        <f t="shared" si="12"/>
        <v>7404.200249999999</v>
      </c>
      <c r="W13" s="209">
        <f t="shared" si="13"/>
        <v>20510.25</v>
      </c>
      <c r="X13" s="201"/>
    </row>
    <row r="14" spans="1:24" ht="31.5" customHeight="1">
      <c r="A14" s="208" t="s">
        <v>56</v>
      </c>
      <c r="B14" s="217" t="s">
        <v>112</v>
      </c>
      <c r="C14" s="208">
        <v>1</v>
      </c>
      <c r="D14" s="218">
        <v>10000</v>
      </c>
      <c r="E14" s="218">
        <v>5500</v>
      </c>
      <c r="F14" s="218">
        <f t="shared" si="3"/>
        <v>0.3548387096774194</v>
      </c>
      <c r="G14" s="218">
        <f t="shared" si="0"/>
        <v>15500</v>
      </c>
      <c r="H14" s="218">
        <f t="shared" si="4"/>
        <v>15500</v>
      </c>
      <c r="I14" s="218">
        <f t="shared" si="5"/>
        <v>1286.5</v>
      </c>
      <c r="J14" s="218">
        <f t="shared" si="17"/>
        <v>10830</v>
      </c>
      <c r="K14" s="218">
        <f t="shared" si="16"/>
        <v>5956.5</v>
      </c>
      <c r="L14" s="218">
        <f t="shared" si="2"/>
        <v>16786.5</v>
      </c>
      <c r="M14" s="218">
        <f t="shared" si="6"/>
        <v>13485</v>
      </c>
      <c r="N14" s="218">
        <f t="shared" si="14"/>
        <v>11500</v>
      </c>
      <c r="O14" s="218">
        <f t="shared" si="15"/>
        <v>6324.999999999999</v>
      </c>
      <c r="P14" s="218">
        <f t="shared" si="7"/>
        <v>17825</v>
      </c>
      <c r="Q14" s="218">
        <f t="shared" si="8"/>
        <v>17825</v>
      </c>
      <c r="R14" s="218"/>
      <c r="S14" s="218">
        <f t="shared" si="9"/>
        <v>5500</v>
      </c>
      <c r="T14" s="209">
        <f t="shared" si="10"/>
        <v>1479.4750000000001</v>
      </c>
      <c r="U14" s="209">
        <f t="shared" si="11"/>
        <v>19304.475</v>
      </c>
      <c r="V14" s="209">
        <f t="shared" si="12"/>
        <v>5598.297749999999</v>
      </c>
      <c r="W14" s="209">
        <f t="shared" si="13"/>
        <v>15507.75</v>
      </c>
      <c r="X14" s="201"/>
    </row>
    <row r="15" spans="1:24" ht="15" customHeight="1">
      <c r="A15" s="208" t="s">
        <v>58</v>
      </c>
      <c r="B15" s="217" t="s">
        <v>118</v>
      </c>
      <c r="C15" s="208">
        <v>1</v>
      </c>
      <c r="D15" s="218">
        <v>5205</v>
      </c>
      <c r="E15" s="218"/>
      <c r="F15" s="218">
        <f t="shared" si="3"/>
        <v>0</v>
      </c>
      <c r="G15" s="218">
        <f t="shared" si="0"/>
        <v>5205</v>
      </c>
      <c r="H15" s="218">
        <f>G15</f>
        <v>5205</v>
      </c>
      <c r="I15" s="218">
        <f t="shared" si="5"/>
        <v>432.01500000000004</v>
      </c>
      <c r="J15" s="218">
        <f t="shared" si="17"/>
        <v>5637.015</v>
      </c>
      <c r="K15" s="218">
        <f t="shared" si="16"/>
        <v>0</v>
      </c>
      <c r="L15" s="218">
        <f t="shared" si="2"/>
        <v>5637.015</v>
      </c>
      <c r="M15" s="218">
        <f t="shared" si="6"/>
        <v>4528.35</v>
      </c>
      <c r="N15" s="218">
        <f t="shared" si="14"/>
        <v>5985.749999999999</v>
      </c>
      <c r="O15" s="218"/>
      <c r="P15" s="218">
        <f t="shared" si="7"/>
        <v>5985.749999999999</v>
      </c>
      <c r="Q15" s="218">
        <f t="shared" si="8"/>
        <v>5985.749999999999</v>
      </c>
      <c r="R15" s="218"/>
      <c r="S15" s="218">
        <f t="shared" si="9"/>
        <v>0</v>
      </c>
      <c r="T15" s="209">
        <f t="shared" si="10"/>
        <v>496.81724999999994</v>
      </c>
      <c r="U15" s="209">
        <f t="shared" si="11"/>
        <v>6482.567249999999</v>
      </c>
      <c r="V15" s="209">
        <f t="shared" si="12"/>
        <v>1879.9445024999995</v>
      </c>
      <c r="W15" s="209">
        <f t="shared" si="13"/>
        <v>5207.602499999999</v>
      </c>
      <c r="X15" s="201"/>
    </row>
    <row r="16" spans="1:24" ht="15" customHeight="1">
      <c r="A16" s="208" t="s">
        <v>60</v>
      </c>
      <c r="B16" s="217" t="s">
        <v>63</v>
      </c>
      <c r="C16" s="208">
        <v>1</v>
      </c>
      <c r="D16" s="218">
        <v>8500</v>
      </c>
      <c r="E16" s="218">
        <v>4000</v>
      </c>
      <c r="F16" s="218">
        <f t="shared" si="3"/>
        <v>0.32</v>
      </c>
      <c r="G16" s="218">
        <f t="shared" si="0"/>
        <v>12500</v>
      </c>
      <c r="H16" s="218">
        <f>G16</f>
        <v>12500</v>
      </c>
      <c r="I16" s="218">
        <f t="shared" si="5"/>
        <v>1037.5</v>
      </c>
      <c r="J16" s="218">
        <f t="shared" si="17"/>
        <v>9205.5</v>
      </c>
      <c r="K16" s="218">
        <f t="shared" si="16"/>
        <v>4332</v>
      </c>
      <c r="L16" s="218">
        <f t="shared" si="2"/>
        <v>13537.5</v>
      </c>
      <c r="M16" s="218">
        <f t="shared" si="6"/>
        <v>10875</v>
      </c>
      <c r="N16" s="218">
        <f t="shared" si="14"/>
        <v>9775</v>
      </c>
      <c r="O16" s="218">
        <f t="shared" si="15"/>
        <v>4600</v>
      </c>
      <c r="P16" s="218">
        <f t="shared" si="7"/>
        <v>14375</v>
      </c>
      <c r="Q16" s="218">
        <f t="shared" si="8"/>
        <v>14375</v>
      </c>
      <c r="R16" s="218"/>
      <c r="S16" s="218">
        <f t="shared" si="9"/>
        <v>4000</v>
      </c>
      <c r="T16" s="209">
        <f t="shared" si="10"/>
        <v>1193.125</v>
      </c>
      <c r="U16" s="209">
        <f t="shared" si="11"/>
        <v>15568.125</v>
      </c>
      <c r="V16" s="209">
        <f t="shared" si="12"/>
        <v>4514.756249999999</v>
      </c>
      <c r="W16" s="209">
        <f t="shared" si="13"/>
        <v>12506.25</v>
      </c>
      <c r="X16" s="201"/>
    </row>
    <row r="17" spans="1:24" ht="15" customHeight="1">
      <c r="A17" s="208" t="s">
        <v>62</v>
      </c>
      <c r="B17" s="217" t="s">
        <v>63</v>
      </c>
      <c r="C17" s="208">
        <v>1</v>
      </c>
      <c r="D17" s="218">
        <v>8000</v>
      </c>
      <c r="E17" s="218">
        <v>4000</v>
      </c>
      <c r="F17" s="218">
        <f t="shared" si="3"/>
        <v>0.3333333333333333</v>
      </c>
      <c r="G17" s="218">
        <f t="shared" si="0"/>
        <v>12000</v>
      </c>
      <c r="H17" s="218">
        <f aca="true" t="shared" si="18" ref="H17:H27">G17*C17</f>
        <v>12000</v>
      </c>
      <c r="I17" s="218">
        <f t="shared" si="5"/>
        <v>996</v>
      </c>
      <c r="J17" s="218">
        <f t="shared" si="17"/>
        <v>8664.000000000002</v>
      </c>
      <c r="K17" s="218">
        <f t="shared" si="16"/>
        <v>4332</v>
      </c>
      <c r="L17" s="218">
        <f t="shared" si="2"/>
        <v>12996</v>
      </c>
      <c r="M17" s="218">
        <f t="shared" si="6"/>
        <v>10440</v>
      </c>
      <c r="N17" s="218">
        <f t="shared" si="14"/>
        <v>9200</v>
      </c>
      <c r="O17" s="218">
        <f t="shared" si="15"/>
        <v>4600</v>
      </c>
      <c r="P17" s="218">
        <f t="shared" si="7"/>
        <v>13800</v>
      </c>
      <c r="Q17" s="218">
        <f t="shared" si="8"/>
        <v>13800</v>
      </c>
      <c r="R17" s="218"/>
      <c r="S17" s="218">
        <f t="shared" si="9"/>
        <v>4000</v>
      </c>
      <c r="T17" s="209">
        <f t="shared" si="10"/>
        <v>1145.4</v>
      </c>
      <c r="U17" s="209">
        <f t="shared" si="11"/>
        <v>14945.4</v>
      </c>
      <c r="V17" s="209">
        <f t="shared" si="12"/>
        <v>4334.165999999999</v>
      </c>
      <c r="W17" s="209">
        <f t="shared" si="13"/>
        <v>12006</v>
      </c>
      <c r="X17" s="201"/>
    </row>
    <row r="18" spans="1:24" ht="15" customHeight="1">
      <c r="A18" s="208" t="s">
        <v>64</v>
      </c>
      <c r="B18" s="217" t="s">
        <v>65</v>
      </c>
      <c r="C18" s="208">
        <v>2</v>
      </c>
      <c r="D18" s="218">
        <v>8000</v>
      </c>
      <c r="E18" s="218">
        <v>2000</v>
      </c>
      <c r="F18" s="218">
        <f t="shared" si="3"/>
        <v>0.2</v>
      </c>
      <c r="G18" s="218">
        <f t="shared" si="0"/>
        <v>10000</v>
      </c>
      <c r="H18" s="218">
        <f t="shared" si="18"/>
        <v>20000</v>
      </c>
      <c r="I18" s="218">
        <f t="shared" si="5"/>
        <v>1660</v>
      </c>
      <c r="J18" s="218">
        <f t="shared" si="17"/>
        <v>17328</v>
      </c>
      <c r="K18" s="218">
        <f t="shared" si="16"/>
        <v>4332</v>
      </c>
      <c r="L18" s="218">
        <f t="shared" si="2"/>
        <v>21660</v>
      </c>
      <c r="M18" s="218">
        <f t="shared" si="6"/>
        <v>17400</v>
      </c>
      <c r="N18" s="218">
        <f t="shared" si="14"/>
        <v>9200</v>
      </c>
      <c r="O18" s="218">
        <f t="shared" si="15"/>
        <v>2300</v>
      </c>
      <c r="P18" s="218">
        <f t="shared" si="7"/>
        <v>11500</v>
      </c>
      <c r="Q18" s="218">
        <f t="shared" si="8"/>
        <v>23000</v>
      </c>
      <c r="R18" s="218"/>
      <c r="S18" s="218">
        <f t="shared" si="9"/>
        <v>4000</v>
      </c>
      <c r="T18" s="209">
        <f t="shared" si="10"/>
        <v>1909</v>
      </c>
      <c r="U18" s="209">
        <f t="shared" si="11"/>
        <v>24909</v>
      </c>
      <c r="V18" s="209">
        <f t="shared" si="12"/>
        <v>7223.61</v>
      </c>
      <c r="W18" s="209">
        <f t="shared" si="13"/>
        <v>20010</v>
      </c>
      <c r="X18" s="201">
        <f>W18/2</f>
        <v>10005</v>
      </c>
    </row>
    <row r="19" spans="1:24" ht="15" customHeight="1">
      <c r="A19" s="208" t="s">
        <v>66</v>
      </c>
      <c r="B19" s="217" t="s">
        <v>67</v>
      </c>
      <c r="C19" s="208">
        <v>2</v>
      </c>
      <c r="D19" s="218">
        <v>8000</v>
      </c>
      <c r="E19" s="218">
        <v>4000</v>
      </c>
      <c r="F19" s="218">
        <f t="shared" si="3"/>
        <v>0.3333333333333333</v>
      </c>
      <c r="G19" s="218">
        <f t="shared" si="0"/>
        <v>12000</v>
      </c>
      <c r="H19" s="218">
        <f t="shared" si="18"/>
        <v>24000</v>
      </c>
      <c r="I19" s="218">
        <f t="shared" si="5"/>
        <v>1992</v>
      </c>
      <c r="J19" s="218">
        <f t="shared" si="17"/>
        <v>17328.000000000004</v>
      </c>
      <c r="K19" s="218">
        <f t="shared" si="16"/>
        <v>8664</v>
      </c>
      <c r="L19" s="218">
        <f t="shared" si="2"/>
        <v>25992</v>
      </c>
      <c r="M19" s="218">
        <f t="shared" si="6"/>
        <v>20880</v>
      </c>
      <c r="N19" s="218">
        <f t="shared" si="14"/>
        <v>9200</v>
      </c>
      <c r="O19" s="218">
        <f t="shared" si="15"/>
        <v>4600</v>
      </c>
      <c r="P19" s="218">
        <f t="shared" si="7"/>
        <v>13800</v>
      </c>
      <c r="Q19" s="218">
        <f t="shared" si="8"/>
        <v>27600</v>
      </c>
      <c r="R19" s="218"/>
      <c r="S19" s="218">
        <f t="shared" si="9"/>
        <v>8000</v>
      </c>
      <c r="T19" s="209">
        <f t="shared" si="10"/>
        <v>2290.8</v>
      </c>
      <c r="U19" s="209">
        <f t="shared" si="11"/>
        <v>29890.8</v>
      </c>
      <c r="V19" s="209">
        <f t="shared" si="12"/>
        <v>8668.331999999999</v>
      </c>
      <c r="W19" s="209">
        <f t="shared" si="13"/>
        <v>24012</v>
      </c>
      <c r="X19" s="201">
        <f>W19/2</f>
        <v>12006</v>
      </c>
    </row>
    <row r="20" spans="1:24" ht="15" customHeight="1">
      <c r="A20" s="208" t="s">
        <v>68</v>
      </c>
      <c r="B20" s="217" t="s">
        <v>69</v>
      </c>
      <c r="C20" s="208">
        <v>2</v>
      </c>
      <c r="D20" s="218">
        <v>6000</v>
      </c>
      <c r="E20" s="218">
        <v>2000</v>
      </c>
      <c r="F20" s="218">
        <f t="shared" si="3"/>
        <v>0.25</v>
      </c>
      <c r="G20" s="218">
        <f t="shared" si="0"/>
        <v>8000</v>
      </c>
      <c r="H20" s="218">
        <f t="shared" si="18"/>
        <v>16000</v>
      </c>
      <c r="I20" s="218">
        <f t="shared" si="5"/>
        <v>1328</v>
      </c>
      <c r="J20" s="218">
        <f t="shared" si="17"/>
        <v>12996</v>
      </c>
      <c r="K20" s="218">
        <f t="shared" si="16"/>
        <v>4332</v>
      </c>
      <c r="L20" s="218">
        <f t="shared" si="2"/>
        <v>17328</v>
      </c>
      <c r="M20" s="218">
        <f t="shared" si="6"/>
        <v>13920</v>
      </c>
      <c r="N20" s="218">
        <f t="shared" si="14"/>
        <v>6899.999999999999</v>
      </c>
      <c r="O20" s="218">
        <f t="shared" si="15"/>
        <v>2300</v>
      </c>
      <c r="P20" s="218">
        <f t="shared" si="7"/>
        <v>9200</v>
      </c>
      <c r="Q20" s="218">
        <f t="shared" si="8"/>
        <v>18400</v>
      </c>
      <c r="R20" s="218"/>
      <c r="S20" s="218">
        <f t="shared" si="9"/>
        <v>4000</v>
      </c>
      <c r="T20" s="209">
        <f t="shared" si="10"/>
        <v>1527.2</v>
      </c>
      <c r="U20" s="209">
        <f t="shared" si="11"/>
        <v>19927.2</v>
      </c>
      <c r="V20" s="209">
        <f t="shared" si="12"/>
        <v>5778.888</v>
      </c>
      <c r="W20" s="209">
        <f t="shared" si="13"/>
        <v>16008</v>
      </c>
      <c r="X20" s="201">
        <f>W20/2</f>
        <v>8004</v>
      </c>
    </row>
    <row r="21" spans="1:24" ht="15" customHeight="1">
      <c r="A21" s="208" t="s">
        <v>70</v>
      </c>
      <c r="B21" s="217" t="s">
        <v>71</v>
      </c>
      <c r="C21" s="208">
        <v>2</v>
      </c>
      <c r="D21" s="218">
        <v>8000</v>
      </c>
      <c r="E21" s="218">
        <v>4000</v>
      </c>
      <c r="F21" s="218">
        <f t="shared" si="3"/>
        <v>0.3333333333333333</v>
      </c>
      <c r="G21" s="218">
        <f t="shared" si="0"/>
        <v>12000</v>
      </c>
      <c r="H21" s="218">
        <f t="shared" si="18"/>
        <v>24000</v>
      </c>
      <c r="I21" s="218">
        <f t="shared" si="5"/>
        <v>1992</v>
      </c>
      <c r="J21" s="218">
        <f t="shared" si="17"/>
        <v>17328.000000000004</v>
      </c>
      <c r="K21" s="218">
        <f t="shared" si="16"/>
        <v>8664</v>
      </c>
      <c r="L21" s="218">
        <f t="shared" si="2"/>
        <v>25992</v>
      </c>
      <c r="M21" s="218">
        <f t="shared" si="6"/>
        <v>20880</v>
      </c>
      <c r="N21" s="218">
        <f t="shared" si="14"/>
        <v>9200</v>
      </c>
      <c r="O21" s="218">
        <f t="shared" si="15"/>
        <v>4600</v>
      </c>
      <c r="P21" s="218">
        <f t="shared" si="7"/>
        <v>13800</v>
      </c>
      <c r="Q21" s="218">
        <f t="shared" si="8"/>
        <v>27600</v>
      </c>
      <c r="R21" s="218"/>
      <c r="S21" s="218">
        <f t="shared" si="9"/>
        <v>8000</v>
      </c>
      <c r="T21" s="209">
        <f t="shared" si="10"/>
        <v>2290.8</v>
      </c>
      <c r="U21" s="209">
        <f t="shared" si="11"/>
        <v>29890.8</v>
      </c>
      <c r="V21" s="209">
        <f t="shared" si="12"/>
        <v>8668.331999999999</v>
      </c>
      <c r="W21" s="209">
        <f t="shared" si="13"/>
        <v>24012</v>
      </c>
      <c r="X21" s="201">
        <f>W21/2</f>
        <v>12006</v>
      </c>
    </row>
    <row r="22" spans="1:24" ht="30.75" customHeight="1">
      <c r="A22" s="208" t="s">
        <v>72</v>
      </c>
      <c r="B22" s="217" t="s">
        <v>106</v>
      </c>
      <c r="C22" s="208">
        <v>7</v>
      </c>
      <c r="D22" s="218">
        <v>2300</v>
      </c>
      <c r="E22" s="218"/>
      <c r="F22" s="218">
        <f t="shared" si="3"/>
        <v>0</v>
      </c>
      <c r="G22" s="218">
        <f>D22</f>
        <v>2300</v>
      </c>
      <c r="H22" s="218">
        <f t="shared" si="18"/>
        <v>16100</v>
      </c>
      <c r="I22" s="218">
        <f t="shared" si="5"/>
        <v>1336.3000000000002</v>
      </c>
      <c r="J22" s="218">
        <f t="shared" si="17"/>
        <v>17436.3</v>
      </c>
      <c r="K22" s="218">
        <f t="shared" si="16"/>
        <v>0</v>
      </c>
      <c r="L22" s="218">
        <f t="shared" si="2"/>
        <v>17436.3</v>
      </c>
      <c r="M22" s="218">
        <f t="shared" si="6"/>
        <v>14007</v>
      </c>
      <c r="N22" s="218">
        <f t="shared" si="14"/>
        <v>2645</v>
      </c>
      <c r="O22" s="218"/>
      <c r="P22" s="218">
        <f t="shared" si="7"/>
        <v>2645</v>
      </c>
      <c r="Q22" s="218">
        <f t="shared" si="8"/>
        <v>18515</v>
      </c>
      <c r="R22" s="218"/>
      <c r="S22" s="218">
        <f t="shared" si="9"/>
        <v>0</v>
      </c>
      <c r="T22" s="209">
        <f t="shared" si="10"/>
        <v>1536.7450000000001</v>
      </c>
      <c r="U22" s="209">
        <f t="shared" si="11"/>
        <v>20051.745</v>
      </c>
      <c r="V22" s="209">
        <f t="shared" si="12"/>
        <v>5815.006049999999</v>
      </c>
      <c r="W22" s="209">
        <f t="shared" si="13"/>
        <v>16108.05</v>
      </c>
      <c r="X22" s="201">
        <f>W22/7</f>
        <v>2301.15</v>
      </c>
    </row>
    <row r="23" spans="1:24" ht="30" customHeight="1">
      <c r="A23" s="208" t="s">
        <v>74</v>
      </c>
      <c r="B23" s="217" t="s">
        <v>107</v>
      </c>
      <c r="C23" s="208">
        <v>6</v>
      </c>
      <c r="D23" s="218">
        <v>2300</v>
      </c>
      <c r="E23" s="218"/>
      <c r="F23" s="218">
        <f t="shared" si="3"/>
        <v>0</v>
      </c>
      <c r="G23" s="218">
        <f>D23</f>
        <v>2300</v>
      </c>
      <c r="H23" s="218">
        <f t="shared" si="18"/>
        <v>13800</v>
      </c>
      <c r="I23" s="218">
        <f t="shared" si="5"/>
        <v>1145.4</v>
      </c>
      <c r="J23" s="218">
        <f t="shared" si="17"/>
        <v>14945.4</v>
      </c>
      <c r="K23" s="218">
        <f t="shared" si="16"/>
        <v>0</v>
      </c>
      <c r="L23" s="218">
        <f t="shared" si="2"/>
        <v>14945.4</v>
      </c>
      <c r="M23" s="218">
        <f t="shared" si="6"/>
        <v>12006</v>
      </c>
      <c r="N23" s="218">
        <f t="shared" si="14"/>
        <v>2645</v>
      </c>
      <c r="O23" s="218"/>
      <c r="P23" s="218">
        <f t="shared" si="7"/>
        <v>2645</v>
      </c>
      <c r="Q23" s="218">
        <f t="shared" si="8"/>
        <v>15870</v>
      </c>
      <c r="R23" s="218"/>
      <c r="S23" s="218">
        <f t="shared" si="9"/>
        <v>0</v>
      </c>
      <c r="T23" s="209">
        <f t="shared" si="10"/>
        <v>1317.21</v>
      </c>
      <c r="U23" s="209">
        <f t="shared" si="11"/>
        <v>17187.21</v>
      </c>
      <c r="V23" s="209">
        <f t="shared" si="12"/>
        <v>4984.290899999999</v>
      </c>
      <c r="W23" s="209">
        <f t="shared" si="13"/>
        <v>13806.9</v>
      </c>
      <c r="X23" s="201">
        <f>W23/6</f>
        <v>2301.15</v>
      </c>
    </row>
    <row r="24" spans="1:24" ht="27.75" customHeight="1">
      <c r="A24" s="208" t="s">
        <v>76</v>
      </c>
      <c r="B24" s="217" t="s">
        <v>108</v>
      </c>
      <c r="C24" s="208">
        <v>7</v>
      </c>
      <c r="D24" s="218">
        <v>2800</v>
      </c>
      <c r="E24" s="218"/>
      <c r="F24" s="218">
        <f t="shared" si="3"/>
        <v>0</v>
      </c>
      <c r="G24" s="218">
        <f>D24</f>
        <v>2800</v>
      </c>
      <c r="H24" s="218">
        <f t="shared" si="18"/>
        <v>19600</v>
      </c>
      <c r="I24" s="218">
        <f t="shared" si="5"/>
        <v>1626.8000000000002</v>
      </c>
      <c r="J24" s="218">
        <f t="shared" si="17"/>
        <v>21226.8</v>
      </c>
      <c r="K24" s="218">
        <f t="shared" si="16"/>
        <v>0</v>
      </c>
      <c r="L24" s="218">
        <f t="shared" si="2"/>
        <v>21226.8</v>
      </c>
      <c r="M24" s="218">
        <f t="shared" si="6"/>
        <v>17052</v>
      </c>
      <c r="N24" s="218">
        <f t="shared" si="14"/>
        <v>3219.9999999999995</v>
      </c>
      <c r="O24" s="218"/>
      <c r="P24" s="218">
        <f t="shared" si="7"/>
        <v>3219.9999999999995</v>
      </c>
      <c r="Q24" s="218">
        <f t="shared" si="8"/>
        <v>22539.999999999996</v>
      </c>
      <c r="R24" s="218"/>
      <c r="S24" s="218">
        <f t="shared" si="9"/>
        <v>0</v>
      </c>
      <c r="T24" s="209">
        <f t="shared" si="10"/>
        <v>1870.8199999999997</v>
      </c>
      <c r="U24" s="209">
        <f t="shared" si="11"/>
        <v>24410.819999999996</v>
      </c>
      <c r="V24" s="209">
        <f t="shared" si="12"/>
        <v>7079.137799999999</v>
      </c>
      <c r="W24" s="209">
        <f t="shared" si="13"/>
        <v>19609.799999999996</v>
      </c>
      <c r="X24" s="201">
        <f>W24/7</f>
        <v>2801.399999999999</v>
      </c>
    </row>
    <row r="25" spans="1:24" ht="30" customHeight="1">
      <c r="A25" s="208" t="s">
        <v>78</v>
      </c>
      <c r="B25" s="217" t="s">
        <v>133</v>
      </c>
      <c r="C25" s="208">
        <v>5</v>
      </c>
      <c r="D25" s="218">
        <v>2800</v>
      </c>
      <c r="E25" s="218"/>
      <c r="F25" s="218">
        <f t="shared" si="3"/>
        <v>0</v>
      </c>
      <c r="G25" s="218">
        <v>2800</v>
      </c>
      <c r="H25" s="218">
        <f t="shared" si="18"/>
        <v>14000</v>
      </c>
      <c r="I25" s="218">
        <f t="shared" si="5"/>
        <v>1162</v>
      </c>
      <c r="J25" s="218">
        <f t="shared" si="17"/>
        <v>15162</v>
      </c>
      <c r="K25" s="218">
        <f t="shared" si="16"/>
        <v>0</v>
      </c>
      <c r="L25" s="218">
        <f t="shared" si="2"/>
        <v>15162</v>
      </c>
      <c r="M25" s="218">
        <f t="shared" si="6"/>
        <v>12180</v>
      </c>
      <c r="N25" s="218">
        <f t="shared" si="14"/>
        <v>3219.9999999999995</v>
      </c>
      <c r="O25" s="218"/>
      <c r="P25" s="218">
        <f t="shared" si="7"/>
        <v>3219.9999999999995</v>
      </c>
      <c r="Q25" s="218">
        <f t="shared" si="8"/>
        <v>16099.999999999998</v>
      </c>
      <c r="R25" s="218"/>
      <c r="S25" s="218">
        <f t="shared" si="9"/>
        <v>0</v>
      </c>
      <c r="T25" s="209">
        <f t="shared" si="10"/>
        <v>1336.3</v>
      </c>
      <c r="U25" s="209">
        <f t="shared" si="11"/>
        <v>17436.3</v>
      </c>
      <c r="V25" s="209">
        <f t="shared" si="12"/>
        <v>5056.526999999999</v>
      </c>
      <c r="W25" s="209">
        <f t="shared" si="13"/>
        <v>14006.999999999998</v>
      </c>
      <c r="X25" s="201">
        <f>W25/5</f>
        <v>2801.3999999999996</v>
      </c>
    </row>
    <row r="26" spans="1:24" ht="30" customHeight="1">
      <c r="A26" s="208" t="s">
        <v>80</v>
      </c>
      <c r="B26" s="217" t="s">
        <v>134</v>
      </c>
      <c r="C26" s="208">
        <v>6</v>
      </c>
      <c r="D26" s="218">
        <v>2800</v>
      </c>
      <c r="E26" s="218"/>
      <c r="F26" s="218">
        <f t="shared" si="3"/>
        <v>0</v>
      </c>
      <c r="G26" s="218">
        <v>2800</v>
      </c>
      <c r="H26" s="218">
        <f t="shared" si="18"/>
        <v>16800</v>
      </c>
      <c r="I26" s="218">
        <f t="shared" si="5"/>
        <v>1394.4</v>
      </c>
      <c r="J26" s="218">
        <f t="shared" si="17"/>
        <v>18194.4</v>
      </c>
      <c r="K26" s="218">
        <f t="shared" si="16"/>
        <v>0</v>
      </c>
      <c r="L26" s="218">
        <f t="shared" si="2"/>
        <v>18194.4</v>
      </c>
      <c r="M26" s="218">
        <f t="shared" si="6"/>
        <v>14616</v>
      </c>
      <c r="N26" s="218">
        <f>D26*1.15</f>
        <v>3219.9999999999995</v>
      </c>
      <c r="O26" s="218"/>
      <c r="P26" s="218">
        <f t="shared" si="7"/>
        <v>3219.9999999999995</v>
      </c>
      <c r="Q26" s="218">
        <f t="shared" si="8"/>
        <v>19319.999999999996</v>
      </c>
      <c r="R26" s="218"/>
      <c r="S26" s="218">
        <f t="shared" si="9"/>
        <v>0</v>
      </c>
      <c r="T26" s="209">
        <f t="shared" si="10"/>
        <v>1603.5599999999997</v>
      </c>
      <c r="U26" s="209">
        <f t="shared" si="11"/>
        <v>20923.559999999998</v>
      </c>
      <c r="V26" s="209">
        <f t="shared" si="12"/>
        <v>6067.832399999999</v>
      </c>
      <c r="W26" s="209">
        <f t="shared" si="13"/>
        <v>16808.399999999998</v>
      </c>
      <c r="X26" s="201">
        <f>W26/6</f>
        <v>2801.3999999999996</v>
      </c>
    </row>
    <row r="27" spans="1:24" ht="15" customHeight="1">
      <c r="A27" s="208" t="s">
        <v>82</v>
      </c>
      <c r="B27" s="217" t="s">
        <v>83</v>
      </c>
      <c r="C27" s="208">
        <v>1</v>
      </c>
      <c r="D27" s="218">
        <v>1500</v>
      </c>
      <c r="E27" s="218">
        <v>500</v>
      </c>
      <c r="F27" s="218">
        <f t="shared" si="3"/>
        <v>0.25</v>
      </c>
      <c r="G27" s="218">
        <f>D27+E27</f>
        <v>2000</v>
      </c>
      <c r="H27" s="218">
        <f t="shared" si="18"/>
        <v>2000</v>
      </c>
      <c r="I27" s="218">
        <f t="shared" si="5"/>
        <v>166</v>
      </c>
      <c r="J27" s="218">
        <f t="shared" si="17"/>
        <v>1624.5</v>
      </c>
      <c r="K27" s="218">
        <f t="shared" si="16"/>
        <v>541.5</v>
      </c>
      <c r="L27" s="218">
        <f t="shared" si="2"/>
        <v>2166</v>
      </c>
      <c r="M27" s="218">
        <f t="shared" si="6"/>
        <v>1740</v>
      </c>
      <c r="N27" s="218">
        <f t="shared" si="14"/>
        <v>1724.9999999999998</v>
      </c>
      <c r="O27" s="218">
        <f t="shared" si="15"/>
        <v>575</v>
      </c>
      <c r="P27" s="218">
        <f t="shared" si="7"/>
        <v>2300</v>
      </c>
      <c r="Q27" s="218">
        <f t="shared" si="8"/>
        <v>2300</v>
      </c>
      <c r="R27" s="218"/>
      <c r="S27" s="218">
        <f t="shared" si="9"/>
        <v>500</v>
      </c>
      <c r="T27" s="209">
        <f t="shared" si="10"/>
        <v>190.9</v>
      </c>
      <c r="U27" s="209">
        <f t="shared" si="11"/>
        <v>2490.9</v>
      </c>
      <c r="V27" s="209">
        <f t="shared" si="12"/>
        <v>722.361</v>
      </c>
      <c r="W27" s="209">
        <f t="shared" si="13"/>
        <v>2001</v>
      </c>
      <c r="X27" s="201"/>
    </row>
    <row r="28" spans="1:24" ht="15" customHeight="1">
      <c r="A28" s="269" t="s">
        <v>16</v>
      </c>
      <c r="B28" s="269"/>
      <c r="C28" s="208">
        <f>SUM(C5:C27)</f>
        <v>55</v>
      </c>
      <c r="D28" s="209"/>
      <c r="E28" s="209"/>
      <c r="F28" s="209"/>
      <c r="G28" s="209"/>
      <c r="H28" s="209">
        <f>SUM(H5:H27)</f>
        <v>405005</v>
      </c>
      <c r="I28" s="209">
        <f aca="true" t="shared" si="19" ref="I28:O28">SUM(I5:I27)</f>
        <v>33615.415</v>
      </c>
      <c r="J28" s="209">
        <f t="shared" si="19"/>
        <v>343099.81500000006</v>
      </c>
      <c r="K28" s="209">
        <f t="shared" si="19"/>
        <v>95520.6</v>
      </c>
      <c r="L28" s="209">
        <f t="shared" si="19"/>
        <v>438620.41500000004</v>
      </c>
      <c r="M28" s="209">
        <f t="shared" si="19"/>
        <v>352354.35</v>
      </c>
      <c r="N28" s="209">
        <f t="shared" si="19"/>
        <v>216780.75</v>
      </c>
      <c r="O28" s="209">
        <f t="shared" si="19"/>
        <v>87630</v>
      </c>
      <c r="P28" s="209"/>
      <c r="Q28" s="209">
        <f>SUM(Q5:Q27)</f>
        <v>465755.75</v>
      </c>
      <c r="R28" s="209"/>
      <c r="S28" s="209">
        <f>SUM(S5:S27)</f>
        <v>88200</v>
      </c>
      <c r="T28" s="209">
        <f>SUM(T5:T27)</f>
        <v>38657.727249999996</v>
      </c>
      <c r="U28" s="209">
        <f>SUM(U5:U27)</f>
        <v>504413.47725000005</v>
      </c>
      <c r="V28" s="209">
        <f>SUM(V5:V27)</f>
        <v>146279.9084025</v>
      </c>
      <c r="W28" s="209">
        <f>SUM(W5:W27)</f>
        <v>405207.50250000006</v>
      </c>
      <c r="X28" s="201"/>
    </row>
    <row r="29" spans="1:23" ht="15" customHeight="1">
      <c r="A29" s="203"/>
      <c r="F29" s="210"/>
      <c r="G29" s="203"/>
      <c r="H29" s="203"/>
      <c r="I29" s="203"/>
      <c r="J29" s="211"/>
      <c r="K29" s="211"/>
      <c r="L29" s="211"/>
      <c r="M29" s="211"/>
      <c r="P29" s="263" t="s">
        <v>130</v>
      </c>
      <c r="Q29" s="263"/>
      <c r="R29" s="263"/>
      <c r="S29" s="263"/>
      <c r="T29" s="263"/>
      <c r="U29" s="216">
        <f>U28*12</f>
        <v>6052961.727000001</v>
      </c>
      <c r="V29" s="216">
        <f>V28*12</f>
        <v>1755358.9008300002</v>
      </c>
      <c r="W29" s="207"/>
    </row>
    <row r="30" spans="1:23" ht="15" customHeight="1">
      <c r="A30" s="203"/>
      <c r="B30" s="203" t="s">
        <v>41</v>
      </c>
      <c r="C30" s="268" t="s">
        <v>101</v>
      </c>
      <c r="D30" s="268"/>
      <c r="E30" s="268"/>
      <c r="F30" s="203"/>
      <c r="G30" s="206"/>
      <c r="H30" s="203"/>
      <c r="I30" s="203"/>
      <c r="J30" s="212">
        <f>J28*12</f>
        <v>4117197.7800000007</v>
      </c>
      <c r="K30" s="212">
        <f>K28*12</f>
        <v>1146247.2000000002</v>
      </c>
      <c r="L30" s="203"/>
      <c r="M30" s="203"/>
      <c r="P30" s="203">
        <f>P28*12</f>
        <v>0</v>
      </c>
      <c r="T30" s="203"/>
      <c r="U30" s="203"/>
      <c r="V30" s="203"/>
      <c r="W30" s="222">
        <f>W28*1.13*1.083*1.032</f>
        <v>511757.3339479782</v>
      </c>
    </row>
    <row r="31" spans="1:23" ht="15" customHeight="1">
      <c r="A31" s="203"/>
      <c r="B31" s="203" t="s">
        <v>45</v>
      </c>
      <c r="C31" s="268" t="s">
        <v>102</v>
      </c>
      <c r="D31" s="268"/>
      <c r="E31" s="268"/>
      <c r="F31" s="210"/>
      <c r="G31" s="203"/>
      <c r="H31" s="211"/>
      <c r="I31" s="203"/>
      <c r="J31" s="203"/>
      <c r="K31" s="203"/>
      <c r="L31" s="203"/>
      <c r="M31" s="203"/>
      <c r="P31" s="203"/>
      <c r="T31" s="203"/>
      <c r="U31" s="203"/>
      <c r="V31" s="203"/>
      <c r="W31" s="203"/>
    </row>
    <row r="32" spans="1:23" ht="15" customHeight="1">
      <c r="A32" s="203"/>
      <c r="B32" s="203" t="s">
        <v>100</v>
      </c>
      <c r="C32" s="203"/>
      <c r="D32" s="203"/>
      <c r="E32" s="203"/>
      <c r="F32" s="203"/>
      <c r="G32" s="203"/>
      <c r="H32" s="203"/>
      <c r="I32" s="203"/>
      <c r="J32" s="213">
        <f>J28/L28</f>
        <v>0.7822249108035704</v>
      </c>
      <c r="K32" s="213">
        <f>K28/L28</f>
        <v>0.21777508919642966</v>
      </c>
      <c r="L32" s="203"/>
      <c r="M32" s="203"/>
      <c r="P32" s="203"/>
      <c r="T32" s="203"/>
      <c r="U32" s="203"/>
      <c r="V32" s="203"/>
      <c r="W32" s="203"/>
    </row>
    <row r="34" ht="15" customHeight="1">
      <c r="B34" t="s">
        <v>103</v>
      </c>
    </row>
    <row r="36" ht="15" customHeight="1">
      <c r="B36" t="s">
        <v>104</v>
      </c>
    </row>
  </sheetData>
  <sheetProtection/>
  <mergeCells count="22">
    <mergeCell ref="E1:Q1"/>
    <mergeCell ref="T2:T4"/>
    <mergeCell ref="G3:G4"/>
    <mergeCell ref="C2:C4"/>
    <mergeCell ref="B2:B4"/>
    <mergeCell ref="J2:K2"/>
    <mergeCell ref="N2:Q2"/>
    <mergeCell ref="P3:P4"/>
    <mergeCell ref="C31:E31"/>
    <mergeCell ref="A28:B28"/>
    <mergeCell ref="J3:K3"/>
    <mergeCell ref="A2:A4"/>
    <mergeCell ref="N3:O3"/>
    <mergeCell ref="R3:S3"/>
    <mergeCell ref="C30:E30"/>
    <mergeCell ref="W2:W4"/>
    <mergeCell ref="P29:T29"/>
    <mergeCell ref="V2:V4"/>
    <mergeCell ref="U2:U4"/>
    <mergeCell ref="H3:H4"/>
    <mergeCell ref="D2:H2"/>
    <mergeCell ref="Q3:Q4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  <headerFooter>
    <oddHeader>&amp;R&amp;"Times New Roman,обычный"&amp;9ТСЖ"Кировское-2"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G25" sqref="F25:G25"/>
    </sheetView>
  </sheetViews>
  <sheetFormatPr defaultColWidth="9.140625" defaultRowHeight="12.75"/>
  <cols>
    <col min="1" max="1" width="5.57421875" style="0" customWidth="1"/>
    <col min="2" max="2" width="48.7109375" style="0" customWidth="1"/>
    <col min="3" max="3" width="10.7109375" style="0" customWidth="1"/>
    <col min="4" max="4" width="12.7109375" style="0" customWidth="1"/>
    <col min="5" max="7" width="14.421875" style="0" customWidth="1"/>
    <col min="8" max="11" width="12.7109375" style="0" customWidth="1"/>
  </cols>
  <sheetData>
    <row r="1" spans="2:11" ht="12.75">
      <c r="B1" s="246" t="s">
        <v>18</v>
      </c>
      <c r="C1" s="246"/>
      <c r="D1" s="246"/>
      <c r="E1" s="246"/>
      <c r="F1" s="246"/>
      <c r="G1" s="246"/>
      <c r="H1" s="246"/>
      <c r="I1" s="31"/>
      <c r="J1" s="33"/>
      <c r="K1" s="33"/>
    </row>
    <row r="2" spans="9:11" ht="12.75">
      <c r="I2" s="35"/>
      <c r="J2" s="33"/>
      <c r="K2" s="33"/>
    </row>
    <row r="3" spans="1:7" ht="12.75">
      <c r="A3" s="247"/>
      <c r="B3" s="247"/>
      <c r="C3" s="247"/>
      <c r="D3" s="38"/>
      <c r="E3" s="38"/>
      <c r="F3" s="38"/>
      <c r="G3" s="38"/>
    </row>
    <row r="4" spans="4:11" ht="13.5" thickBot="1">
      <c r="D4" s="95" t="s">
        <v>19</v>
      </c>
      <c r="E4" s="257" t="s">
        <v>84</v>
      </c>
      <c r="F4" s="257"/>
      <c r="G4" s="257"/>
      <c r="H4" s="257"/>
      <c r="I4" s="257" t="s">
        <v>105</v>
      </c>
      <c r="J4" s="257"/>
      <c r="K4" s="37"/>
    </row>
    <row r="5" spans="1:10" ht="16.5" thickBot="1">
      <c r="A5" s="249" t="s">
        <v>85</v>
      </c>
      <c r="B5" s="249"/>
      <c r="C5" s="249"/>
      <c r="D5" s="96">
        <v>16</v>
      </c>
      <c r="E5" s="258" t="s">
        <v>86</v>
      </c>
      <c r="F5" s="258"/>
      <c r="G5" s="258"/>
      <c r="H5" s="258"/>
      <c r="I5" s="279" t="s">
        <v>114</v>
      </c>
      <c r="J5" s="258"/>
    </row>
    <row r="6" spans="1:11" ht="15.75">
      <c r="A6" s="40"/>
      <c r="B6" s="40"/>
      <c r="C6" s="40"/>
      <c r="D6" s="40"/>
      <c r="E6" s="97"/>
      <c r="F6" s="97"/>
      <c r="G6" s="97"/>
      <c r="H6" s="97"/>
      <c r="I6" s="259" t="s">
        <v>99</v>
      </c>
      <c r="J6" s="259"/>
      <c r="K6" s="259"/>
    </row>
    <row r="7" spans="1:11" ht="15.75">
      <c r="A7" s="40"/>
      <c r="B7" s="40"/>
      <c r="C7" s="40"/>
      <c r="D7" s="40"/>
      <c r="E7" s="97"/>
      <c r="F7" s="97"/>
      <c r="G7" s="97"/>
      <c r="H7" s="253" t="s">
        <v>87</v>
      </c>
      <c r="I7" s="253"/>
      <c r="J7" s="253"/>
      <c r="K7" s="253"/>
    </row>
    <row r="8" spans="1:11" ht="15.75">
      <c r="A8" s="242"/>
      <c r="B8" s="242"/>
      <c r="C8" s="242"/>
      <c r="D8" s="242"/>
      <c r="E8" s="1"/>
      <c r="F8" s="1"/>
      <c r="G8" s="1"/>
      <c r="H8" s="254" t="s">
        <v>88</v>
      </c>
      <c r="I8" s="254"/>
      <c r="J8" s="254"/>
      <c r="K8" s="254"/>
    </row>
    <row r="9" spans="5:11" ht="12.75">
      <c r="E9" s="98"/>
      <c r="F9" s="98"/>
      <c r="G9" s="98"/>
      <c r="I9" s="143" t="s">
        <v>89</v>
      </c>
      <c r="J9" s="99">
        <f>C37</f>
        <v>55</v>
      </c>
      <c r="K9" s="142" t="s">
        <v>90</v>
      </c>
    </row>
    <row r="10" spans="5:11" ht="13.5" thickBot="1">
      <c r="E10" s="98"/>
      <c r="F10" s="98"/>
      <c r="G10" s="98"/>
      <c r="I10" s="143"/>
      <c r="J10" s="149"/>
      <c r="K10" s="142" t="s">
        <v>115</v>
      </c>
    </row>
    <row r="11" spans="1:12" ht="13.5" thickBot="1">
      <c r="A11" s="144" t="s">
        <v>25</v>
      </c>
      <c r="B11" s="159" t="s">
        <v>26</v>
      </c>
      <c r="C11" s="144" t="s">
        <v>27</v>
      </c>
      <c r="D11" s="280" t="s">
        <v>28</v>
      </c>
      <c r="E11" s="280"/>
      <c r="F11" s="280"/>
      <c r="G11" s="280"/>
      <c r="H11" s="281"/>
      <c r="I11" s="150" t="s">
        <v>29</v>
      </c>
      <c r="J11" s="151" t="s">
        <v>91</v>
      </c>
      <c r="K11" s="155" t="s">
        <v>92</v>
      </c>
      <c r="L11" s="155" t="s">
        <v>92</v>
      </c>
    </row>
    <row r="12" spans="1:12" ht="12.75">
      <c r="A12" s="144" t="s">
        <v>31</v>
      </c>
      <c r="B12" s="1" t="s">
        <v>32</v>
      </c>
      <c r="C12" s="145" t="s">
        <v>33</v>
      </c>
      <c r="D12" s="148" t="s">
        <v>93</v>
      </c>
      <c r="E12" s="160" t="s">
        <v>93</v>
      </c>
      <c r="F12" s="160"/>
      <c r="G12" s="160"/>
      <c r="H12" s="151" t="s">
        <v>36</v>
      </c>
      <c r="I12" s="155" t="s">
        <v>37</v>
      </c>
      <c r="J12" s="152" t="s">
        <v>94</v>
      </c>
      <c r="K12" s="157" t="s">
        <v>37</v>
      </c>
      <c r="L12" s="157" t="s">
        <v>37</v>
      </c>
    </row>
    <row r="13" spans="1:12" ht="13.5" thickBot="1">
      <c r="A13" s="146"/>
      <c r="B13" s="167"/>
      <c r="C13" s="146"/>
      <c r="D13" s="147" t="s">
        <v>95</v>
      </c>
      <c r="E13" s="161" t="s">
        <v>96</v>
      </c>
      <c r="F13" s="161"/>
      <c r="G13" s="161"/>
      <c r="H13" s="154"/>
      <c r="I13" s="156"/>
      <c r="J13" s="153"/>
      <c r="K13" s="158"/>
      <c r="L13" s="158"/>
    </row>
    <row r="14" spans="1:12" ht="13.5" thickBot="1">
      <c r="A14" s="166" t="s">
        <v>40</v>
      </c>
      <c r="B14" s="168" t="s">
        <v>41</v>
      </c>
      <c r="C14" s="162">
        <v>1</v>
      </c>
      <c r="D14" s="132">
        <v>19800</v>
      </c>
      <c r="E14" s="132">
        <v>7700</v>
      </c>
      <c r="F14" s="174">
        <f>D14*1.08</f>
        <v>21384</v>
      </c>
      <c r="G14" s="174">
        <f>E14*1.08</f>
        <v>8316</v>
      </c>
      <c r="H14" s="174">
        <f aca="true" t="shared" si="0" ref="H14:H30">D14+E14</f>
        <v>27500</v>
      </c>
      <c r="I14" s="175">
        <f>D14+E14</f>
        <v>27500</v>
      </c>
      <c r="J14" s="174">
        <f aca="true" t="shared" si="1" ref="J14:J36">I14*0.083</f>
        <v>2282.5</v>
      </c>
      <c r="K14" s="176">
        <f>I14+J14</f>
        <v>29782.5</v>
      </c>
      <c r="L14" s="176">
        <f>H14*1.15</f>
        <v>31624.999999999996</v>
      </c>
    </row>
    <row r="15" spans="1:12" ht="13.5" thickBot="1">
      <c r="A15" s="171" t="s">
        <v>42</v>
      </c>
      <c r="B15" s="169" t="s">
        <v>43</v>
      </c>
      <c r="C15" s="163">
        <v>1</v>
      </c>
      <c r="D15" s="116">
        <v>13000</v>
      </c>
      <c r="E15" s="116">
        <v>6000</v>
      </c>
      <c r="F15" s="174">
        <f aca="true" t="shared" si="2" ref="F15:F36">D15*1.08</f>
        <v>14040.000000000002</v>
      </c>
      <c r="G15" s="174">
        <f aca="true" t="shared" si="3" ref="G15:G36">E15*1.08</f>
        <v>6480</v>
      </c>
      <c r="H15" s="172">
        <f t="shared" si="0"/>
        <v>19000</v>
      </c>
      <c r="I15" s="177">
        <f aca="true" t="shared" si="4" ref="I15:I23">H15*C15</f>
        <v>19000</v>
      </c>
      <c r="J15" s="172">
        <f t="shared" si="1"/>
        <v>1577</v>
      </c>
      <c r="K15" s="178">
        <f aca="true" t="shared" si="5" ref="K15:K36">I15+J15</f>
        <v>20577</v>
      </c>
      <c r="L15" s="176">
        <f aca="true" t="shared" si="6" ref="L15:L36">H15*1.15</f>
        <v>21850</v>
      </c>
    </row>
    <row r="16" spans="1:12" ht="13.5" thickBot="1">
      <c r="A16" s="171" t="s">
        <v>44</v>
      </c>
      <c r="B16" s="169" t="s">
        <v>45</v>
      </c>
      <c r="C16" s="163">
        <v>1</v>
      </c>
      <c r="D16" s="116">
        <v>20500</v>
      </c>
      <c r="E16" s="116"/>
      <c r="F16" s="174">
        <f t="shared" si="2"/>
        <v>22140</v>
      </c>
      <c r="G16" s="174">
        <f t="shared" si="3"/>
        <v>0</v>
      </c>
      <c r="H16" s="172">
        <f t="shared" si="0"/>
        <v>20500</v>
      </c>
      <c r="I16" s="177">
        <f t="shared" si="4"/>
        <v>20500</v>
      </c>
      <c r="J16" s="172">
        <f t="shared" si="1"/>
        <v>1701.5</v>
      </c>
      <c r="K16" s="178">
        <f t="shared" si="5"/>
        <v>22201.5</v>
      </c>
      <c r="L16" s="176">
        <f t="shared" si="6"/>
        <v>23574.999999999996</v>
      </c>
    </row>
    <row r="17" spans="1:12" ht="13.5" thickBot="1">
      <c r="A17" s="171" t="s">
        <v>46</v>
      </c>
      <c r="B17" s="169" t="s">
        <v>45</v>
      </c>
      <c r="C17" s="163">
        <v>1</v>
      </c>
      <c r="D17" s="116">
        <v>8500</v>
      </c>
      <c r="E17" s="116">
        <v>12000</v>
      </c>
      <c r="F17" s="174">
        <f t="shared" si="2"/>
        <v>9180</v>
      </c>
      <c r="G17" s="174">
        <f t="shared" si="3"/>
        <v>12960</v>
      </c>
      <c r="H17" s="172">
        <f t="shared" si="0"/>
        <v>20500</v>
      </c>
      <c r="I17" s="177">
        <f t="shared" si="4"/>
        <v>20500</v>
      </c>
      <c r="J17" s="172">
        <f t="shared" si="1"/>
        <v>1701.5</v>
      </c>
      <c r="K17" s="178">
        <f t="shared" si="5"/>
        <v>22201.5</v>
      </c>
      <c r="L17" s="176">
        <f t="shared" si="6"/>
        <v>23574.999999999996</v>
      </c>
    </row>
    <row r="18" spans="1:12" ht="13.5" thickBot="1">
      <c r="A18" s="164" t="s">
        <v>47</v>
      </c>
      <c r="B18" s="170" t="s">
        <v>48</v>
      </c>
      <c r="C18" s="164">
        <v>1</v>
      </c>
      <c r="D18" s="121">
        <v>9500</v>
      </c>
      <c r="E18" s="121"/>
      <c r="F18" s="174">
        <f t="shared" si="2"/>
        <v>10260</v>
      </c>
      <c r="G18" s="174">
        <f t="shared" si="3"/>
        <v>0</v>
      </c>
      <c r="H18" s="172">
        <f t="shared" si="0"/>
        <v>9500</v>
      </c>
      <c r="I18" s="179">
        <f t="shared" si="4"/>
        <v>9500</v>
      </c>
      <c r="J18" s="172">
        <f t="shared" si="1"/>
        <v>788.5</v>
      </c>
      <c r="K18" s="178">
        <f t="shared" si="5"/>
        <v>10288.5</v>
      </c>
      <c r="L18" s="176">
        <f t="shared" si="6"/>
        <v>10925</v>
      </c>
    </row>
    <row r="19" spans="1:12" ht="13.5" thickBot="1">
      <c r="A19" s="164" t="s">
        <v>49</v>
      </c>
      <c r="B19" s="170" t="s">
        <v>50</v>
      </c>
      <c r="C19" s="164">
        <v>1</v>
      </c>
      <c r="D19" s="121">
        <v>10000</v>
      </c>
      <c r="E19" s="121">
        <v>4000</v>
      </c>
      <c r="F19" s="174">
        <f t="shared" si="2"/>
        <v>10800</v>
      </c>
      <c r="G19" s="174">
        <f t="shared" si="3"/>
        <v>4320</v>
      </c>
      <c r="H19" s="172">
        <f t="shared" si="0"/>
        <v>14000</v>
      </c>
      <c r="I19" s="179">
        <f t="shared" si="4"/>
        <v>14000</v>
      </c>
      <c r="J19" s="172">
        <f t="shared" si="1"/>
        <v>1162</v>
      </c>
      <c r="K19" s="178">
        <f t="shared" si="5"/>
        <v>15162</v>
      </c>
      <c r="L19" s="176">
        <f t="shared" si="6"/>
        <v>16099.999999999998</v>
      </c>
    </row>
    <row r="20" spans="1:12" ht="13.5" thickBot="1">
      <c r="A20" s="180" t="s">
        <v>51</v>
      </c>
      <c r="B20" s="181" t="s">
        <v>52</v>
      </c>
      <c r="C20" s="165">
        <v>3</v>
      </c>
      <c r="D20" s="121">
        <v>15500</v>
      </c>
      <c r="E20" s="124"/>
      <c r="F20" s="174">
        <f>D20*1.08*4</f>
        <v>66960</v>
      </c>
      <c r="G20" s="174">
        <f t="shared" si="3"/>
        <v>0</v>
      </c>
      <c r="H20" s="173">
        <f t="shared" si="0"/>
        <v>15500</v>
      </c>
      <c r="I20" s="179">
        <f t="shared" si="4"/>
        <v>46500</v>
      </c>
      <c r="J20" s="172">
        <f t="shared" si="1"/>
        <v>3859.5</v>
      </c>
      <c r="K20" s="178">
        <f t="shared" si="5"/>
        <v>50359.5</v>
      </c>
      <c r="L20" s="176">
        <f t="shared" si="6"/>
        <v>17825</v>
      </c>
    </row>
    <row r="21" spans="1:12" ht="13.5" thickBot="1">
      <c r="A21" s="182" t="s">
        <v>53</v>
      </c>
      <c r="B21" s="181" t="s">
        <v>52</v>
      </c>
      <c r="C21" s="165">
        <v>1</v>
      </c>
      <c r="D21" s="121"/>
      <c r="E21" s="124">
        <v>15500</v>
      </c>
      <c r="F21" s="174">
        <f t="shared" si="2"/>
        <v>0</v>
      </c>
      <c r="G21" s="174">
        <f t="shared" si="3"/>
        <v>16740</v>
      </c>
      <c r="H21" s="173">
        <f t="shared" si="0"/>
        <v>15500</v>
      </c>
      <c r="I21" s="179">
        <f t="shared" si="4"/>
        <v>15500</v>
      </c>
      <c r="J21" s="172">
        <f t="shared" si="1"/>
        <v>1286.5</v>
      </c>
      <c r="K21" s="178">
        <f t="shared" si="5"/>
        <v>16786.5</v>
      </c>
      <c r="L21" s="176">
        <f t="shared" si="6"/>
        <v>17825</v>
      </c>
    </row>
    <row r="22" spans="1:12" ht="26.25" thickBot="1">
      <c r="A22" s="183" t="s">
        <v>54</v>
      </c>
      <c r="B22" s="184" t="s">
        <v>113</v>
      </c>
      <c r="C22" s="163">
        <v>1</v>
      </c>
      <c r="D22" s="116">
        <v>15500</v>
      </c>
      <c r="E22" s="130">
        <v>5000</v>
      </c>
      <c r="F22" s="174">
        <f t="shared" si="2"/>
        <v>16740</v>
      </c>
      <c r="G22" s="174">
        <f t="shared" si="3"/>
        <v>5400</v>
      </c>
      <c r="H22" s="172">
        <f t="shared" si="0"/>
        <v>20500</v>
      </c>
      <c r="I22" s="177">
        <f t="shared" si="4"/>
        <v>20500</v>
      </c>
      <c r="J22" s="172">
        <f t="shared" si="1"/>
        <v>1701.5</v>
      </c>
      <c r="K22" s="178">
        <f t="shared" si="5"/>
        <v>22201.5</v>
      </c>
      <c r="L22" s="176">
        <f t="shared" si="6"/>
        <v>23574.999999999996</v>
      </c>
    </row>
    <row r="23" spans="1:12" ht="13.5" thickBot="1">
      <c r="A23" s="182" t="s">
        <v>56</v>
      </c>
      <c r="B23" s="185" t="s">
        <v>112</v>
      </c>
      <c r="C23" s="162">
        <v>1</v>
      </c>
      <c r="D23" s="132">
        <v>10000</v>
      </c>
      <c r="E23" s="133">
        <v>5500</v>
      </c>
      <c r="F23" s="174">
        <f t="shared" si="2"/>
        <v>10800</v>
      </c>
      <c r="G23" s="174">
        <f t="shared" si="3"/>
        <v>5940</v>
      </c>
      <c r="H23" s="172">
        <f t="shared" si="0"/>
        <v>15500</v>
      </c>
      <c r="I23" s="177">
        <f t="shared" si="4"/>
        <v>15500</v>
      </c>
      <c r="J23" s="172">
        <f t="shared" si="1"/>
        <v>1286.5</v>
      </c>
      <c r="K23" s="178">
        <f t="shared" si="5"/>
        <v>16786.5</v>
      </c>
      <c r="L23" s="176">
        <f t="shared" si="6"/>
        <v>17825</v>
      </c>
    </row>
    <row r="24" spans="1:12" ht="13.5" thickBot="1">
      <c r="A24" s="180" t="s">
        <v>58</v>
      </c>
      <c r="B24" s="186" t="s">
        <v>59</v>
      </c>
      <c r="C24" s="166">
        <v>1</v>
      </c>
      <c r="D24" s="132">
        <v>4500</v>
      </c>
      <c r="E24" s="132"/>
      <c r="F24" s="174">
        <f t="shared" si="2"/>
        <v>4860</v>
      </c>
      <c r="G24" s="174">
        <f t="shared" si="3"/>
        <v>0</v>
      </c>
      <c r="H24" s="172">
        <f t="shared" si="0"/>
        <v>4500</v>
      </c>
      <c r="I24" s="175">
        <f>H24</f>
        <v>4500</v>
      </c>
      <c r="J24" s="172">
        <f t="shared" si="1"/>
        <v>373.5</v>
      </c>
      <c r="K24" s="178">
        <f t="shared" si="5"/>
        <v>4873.5</v>
      </c>
      <c r="L24" s="176">
        <f t="shared" si="6"/>
        <v>5175</v>
      </c>
    </row>
    <row r="25" spans="1:12" ht="13.5" thickBot="1">
      <c r="A25" s="180" t="s">
        <v>60</v>
      </c>
      <c r="B25" s="186" t="s">
        <v>61</v>
      </c>
      <c r="C25" s="166">
        <v>1</v>
      </c>
      <c r="D25" s="132">
        <v>8500</v>
      </c>
      <c r="E25" s="132">
        <v>4000</v>
      </c>
      <c r="F25" s="174">
        <f t="shared" si="2"/>
        <v>9180</v>
      </c>
      <c r="G25" s="174">
        <f t="shared" si="3"/>
        <v>4320</v>
      </c>
      <c r="H25" s="172">
        <f t="shared" si="0"/>
        <v>12500</v>
      </c>
      <c r="I25" s="175">
        <f>H25</f>
        <v>12500</v>
      </c>
      <c r="J25" s="172">
        <f t="shared" si="1"/>
        <v>1037.5</v>
      </c>
      <c r="K25" s="178">
        <f t="shared" si="5"/>
        <v>13537.5</v>
      </c>
      <c r="L25" s="176">
        <f t="shared" si="6"/>
        <v>14374.999999999998</v>
      </c>
    </row>
    <row r="26" spans="1:12" ht="13.5" thickBot="1">
      <c r="A26" s="180" t="s">
        <v>62</v>
      </c>
      <c r="B26" s="187" t="s">
        <v>63</v>
      </c>
      <c r="C26" s="163">
        <v>1</v>
      </c>
      <c r="D26" s="116">
        <v>8000</v>
      </c>
      <c r="E26" s="116">
        <v>4000</v>
      </c>
      <c r="F26" s="174">
        <f t="shared" si="2"/>
        <v>8640</v>
      </c>
      <c r="G26" s="174">
        <f t="shared" si="3"/>
        <v>4320</v>
      </c>
      <c r="H26" s="172">
        <f t="shared" si="0"/>
        <v>12000</v>
      </c>
      <c r="I26" s="177">
        <f aca="true" t="shared" si="7" ref="I26:I36">H26*C26</f>
        <v>12000</v>
      </c>
      <c r="J26" s="172">
        <f t="shared" si="1"/>
        <v>996</v>
      </c>
      <c r="K26" s="178">
        <f t="shared" si="5"/>
        <v>12996</v>
      </c>
      <c r="L26" s="176">
        <f t="shared" si="6"/>
        <v>13799.999999999998</v>
      </c>
    </row>
    <row r="27" spans="1:12" ht="13.5" thickBot="1">
      <c r="A27" s="180" t="s">
        <v>64</v>
      </c>
      <c r="B27" s="187" t="s">
        <v>65</v>
      </c>
      <c r="C27" s="163">
        <v>2</v>
      </c>
      <c r="D27" s="116">
        <v>8000</v>
      </c>
      <c r="E27" s="116">
        <v>2000</v>
      </c>
      <c r="F27" s="174">
        <f>D27*1.08*2</f>
        <v>17280</v>
      </c>
      <c r="G27" s="174">
        <f t="shared" si="3"/>
        <v>2160</v>
      </c>
      <c r="H27" s="172">
        <f t="shared" si="0"/>
        <v>10000</v>
      </c>
      <c r="I27" s="177">
        <f t="shared" si="7"/>
        <v>20000</v>
      </c>
      <c r="J27" s="172">
        <f t="shared" si="1"/>
        <v>1660</v>
      </c>
      <c r="K27" s="178">
        <f t="shared" si="5"/>
        <v>21660</v>
      </c>
      <c r="L27" s="176">
        <f t="shared" si="6"/>
        <v>11500</v>
      </c>
    </row>
    <row r="28" spans="1:12" ht="13.5" thickBot="1">
      <c r="A28" s="180" t="s">
        <v>66</v>
      </c>
      <c r="B28" s="187" t="s">
        <v>67</v>
      </c>
      <c r="C28" s="163">
        <v>2</v>
      </c>
      <c r="D28" s="116">
        <v>8000</v>
      </c>
      <c r="E28" s="116">
        <v>4000</v>
      </c>
      <c r="F28" s="174">
        <f>D28*1.08*2</f>
        <v>17280</v>
      </c>
      <c r="G28" s="174">
        <f t="shared" si="3"/>
        <v>4320</v>
      </c>
      <c r="H28" s="172">
        <f t="shared" si="0"/>
        <v>12000</v>
      </c>
      <c r="I28" s="177">
        <f t="shared" si="7"/>
        <v>24000</v>
      </c>
      <c r="J28" s="172">
        <f t="shared" si="1"/>
        <v>1992</v>
      </c>
      <c r="K28" s="178">
        <f t="shared" si="5"/>
        <v>25992</v>
      </c>
      <c r="L28" s="176">
        <f t="shared" si="6"/>
        <v>13799.999999999998</v>
      </c>
    </row>
    <row r="29" spans="1:12" ht="13.5" thickBot="1">
      <c r="A29" s="182" t="s">
        <v>68</v>
      </c>
      <c r="B29" s="187" t="s">
        <v>69</v>
      </c>
      <c r="C29" s="163">
        <v>2</v>
      </c>
      <c r="D29" s="116">
        <v>6000</v>
      </c>
      <c r="E29" s="116">
        <v>2000</v>
      </c>
      <c r="F29" s="174">
        <f t="shared" si="2"/>
        <v>6480</v>
      </c>
      <c r="G29" s="174">
        <f t="shared" si="3"/>
        <v>2160</v>
      </c>
      <c r="H29" s="172">
        <f t="shared" si="0"/>
        <v>8000</v>
      </c>
      <c r="I29" s="177">
        <f t="shared" si="7"/>
        <v>16000</v>
      </c>
      <c r="J29" s="172">
        <f t="shared" si="1"/>
        <v>1328</v>
      </c>
      <c r="K29" s="178">
        <f t="shared" si="5"/>
        <v>17328</v>
      </c>
      <c r="L29" s="176">
        <f t="shared" si="6"/>
        <v>9200</v>
      </c>
    </row>
    <row r="30" spans="1:12" ht="13.5" thickBot="1">
      <c r="A30" s="182" t="s">
        <v>70</v>
      </c>
      <c r="B30" s="187" t="s">
        <v>71</v>
      </c>
      <c r="C30" s="163">
        <v>2</v>
      </c>
      <c r="D30" s="116">
        <v>8000</v>
      </c>
      <c r="E30" s="116">
        <v>4000</v>
      </c>
      <c r="F30" s="174">
        <f>D30*1.08*2</f>
        <v>17280</v>
      </c>
      <c r="G30" s="174">
        <f t="shared" si="3"/>
        <v>4320</v>
      </c>
      <c r="H30" s="172">
        <f t="shared" si="0"/>
        <v>12000</v>
      </c>
      <c r="I30" s="177">
        <f t="shared" si="7"/>
        <v>24000</v>
      </c>
      <c r="J30" s="172">
        <f t="shared" si="1"/>
        <v>1992</v>
      </c>
      <c r="K30" s="178">
        <f t="shared" si="5"/>
        <v>25992</v>
      </c>
      <c r="L30" s="176">
        <f t="shared" si="6"/>
        <v>13799.999999999998</v>
      </c>
    </row>
    <row r="31" spans="1:12" ht="13.5" thickBot="1">
      <c r="A31" s="182" t="s">
        <v>72</v>
      </c>
      <c r="B31" s="188" t="s">
        <v>106</v>
      </c>
      <c r="C31" s="163">
        <v>7</v>
      </c>
      <c r="D31" s="116">
        <v>2300</v>
      </c>
      <c r="E31" s="116"/>
      <c r="F31" s="174">
        <f>D31*1.08*7</f>
        <v>17388</v>
      </c>
      <c r="G31" s="174">
        <f t="shared" si="3"/>
        <v>0</v>
      </c>
      <c r="H31" s="172">
        <f>D31</f>
        <v>2300</v>
      </c>
      <c r="I31" s="177">
        <f t="shared" si="7"/>
        <v>16100</v>
      </c>
      <c r="J31" s="172">
        <f t="shared" si="1"/>
        <v>1336.3000000000002</v>
      </c>
      <c r="K31" s="178">
        <f t="shared" si="5"/>
        <v>17436.3</v>
      </c>
      <c r="L31" s="176">
        <f t="shared" si="6"/>
        <v>2645</v>
      </c>
    </row>
    <row r="32" spans="1:12" ht="13.5" thickBot="1">
      <c r="A32" s="182" t="s">
        <v>74</v>
      </c>
      <c r="B32" s="188" t="s">
        <v>107</v>
      </c>
      <c r="C32" s="163">
        <v>6</v>
      </c>
      <c r="D32" s="116">
        <v>2300</v>
      </c>
      <c r="E32" s="116"/>
      <c r="F32" s="174">
        <f>D32*1.08*6</f>
        <v>14904</v>
      </c>
      <c r="G32" s="174">
        <f t="shared" si="3"/>
        <v>0</v>
      </c>
      <c r="H32" s="172">
        <f>D32</f>
        <v>2300</v>
      </c>
      <c r="I32" s="177">
        <f t="shared" si="7"/>
        <v>13800</v>
      </c>
      <c r="J32" s="172">
        <f t="shared" si="1"/>
        <v>1145.4</v>
      </c>
      <c r="K32" s="178">
        <f t="shared" si="5"/>
        <v>14945.4</v>
      </c>
      <c r="L32" s="176">
        <f t="shared" si="6"/>
        <v>2645</v>
      </c>
    </row>
    <row r="33" spans="1:12" ht="13.5" thickBot="1">
      <c r="A33" s="182" t="s">
        <v>76</v>
      </c>
      <c r="B33" s="188" t="s">
        <v>108</v>
      </c>
      <c r="C33" s="163">
        <v>7</v>
      </c>
      <c r="D33" s="116">
        <v>2800</v>
      </c>
      <c r="E33" s="116"/>
      <c r="F33" s="174">
        <f>D33*1.08*7</f>
        <v>21168</v>
      </c>
      <c r="G33" s="174">
        <f t="shared" si="3"/>
        <v>0</v>
      </c>
      <c r="H33" s="172">
        <f>D33</f>
        <v>2800</v>
      </c>
      <c r="I33" s="177">
        <f t="shared" si="7"/>
        <v>19600</v>
      </c>
      <c r="J33" s="172">
        <f t="shared" si="1"/>
        <v>1626.8000000000002</v>
      </c>
      <c r="K33" s="178">
        <f t="shared" si="5"/>
        <v>21226.8</v>
      </c>
      <c r="L33" s="176">
        <f t="shared" si="6"/>
        <v>3219.9999999999995</v>
      </c>
    </row>
    <row r="34" spans="1:16" ht="13.5" thickBot="1">
      <c r="A34" s="182" t="s">
        <v>78</v>
      </c>
      <c r="B34" s="188" t="s">
        <v>109</v>
      </c>
      <c r="C34" s="164">
        <v>5</v>
      </c>
      <c r="D34" s="121">
        <v>2800</v>
      </c>
      <c r="E34" s="121"/>
      <c r="F34" s="174">
        <f>D34*1.08*5</f>
        <v>15120</v>
      </c>
      <c r="G34" s="174">
        <f t="shared" si="3"/>
        <v>0</v>
      </c>
      <c r="H34" s="172">
        <v>2800</v>
      </c>
      <c r="I34" s="179">
        <f t="shared" si="7"/>
        <v>14000</v>
      </c>
      <c r="J34" s="172">
        <f t="shared" si="1"/>
        <v>1162</v>
      </c>
      <c r="K34" s="178">
        <f t="shared" si="5"/>
        <v>15162</v>
      </c>
      <c r="L34" s="176">
        <f t="shared" si="6"/>
        <v>3219.9999999999995</v>
      </c>
      <c r="P34">
        <f>5.08*1.08</f>
        <v>5.486400000000001</v>
      </c>
    </row>
    <row r="35" spans="1:12" ht="13.5" thickBot="1">
      <c r="A35" s="189" t="s">
        <v>80</v>
      </c>
      <c r="B35" s="188" t="s">
        <v>110</v>
      </c>
      <c r="C35" s="164">
        <v>6</v>
      </c>
      <c r="D35" s="121">
        <v>2800</v>
      </c>
      <c r="E35" s="121"/>
      <c r="F35" s="174">
        <f>D35*1.08*6</f>
        <v>18144</v>
      </c>
      <c r="G35" s="174">
        <f t="shared" si="3"/>
        <v>0</v>
      </c>
      <c r="H35" s="172">
        <v>2800</v>
      </c>
      <c r="I35" s="179">
        <f t="shared" si="7"/>
        <v>16800</v>
      </c>
      <c r="J35" s="172">
        <f t="shared" si="1"/>
        <v>1394.4</v>
      </c>
      <c r="K35" s="178">
        <f t="shared" si="5"/>
        <v>18194.4</v>
      </c>
      <c r="L35" s="176">
        <f t="shared" si="6"/>
        <v>3219.9999999999995</v>
      </c>
    </row>
    <row r="36" spans="1:12" ht="13.5" thickBot="1">
      <c r="A36" s="154" t="s">
        <v>82</v>
      </c>
      <c r="B36" s="190" t="s">
        <v>111</v>
      </c>
      <c r="C36" s="165">
        <v>1</v>
      </c>
      <c r="D36" s="121">
        <v>1500</v>
      </c>
      <c r="E36" s="121">
        <v>500</v>
      </c>
      <c r="F36" s="193">
        <f t="shared" si="2"/>
        <v>1620</v>
      </c>
      <c r="G36" s="193">
        <f t="shared" si="3"/>
        <v>540</v>
      </c>
      <c r="H36" s="173">
        <f>D36+E36</f>
        <v>2000</v>
      </c>
      <c r="I36" s="179">
        <f t="shared" si="7"/>
        <v>2000</v>
      </c>
      <c r="J36" s="173">
        <f t="shared" si="1"/>
        <v>166</v>
      </c>
      <c r="K36" s="194">
        <f t="shared" si="5"/>
        <v>2166</v>
      </c>
      <c r="L36" s="176">
        <f t="shared" si="6"/>
        <v>2300</v>
      </c>
    </row>
    <row r="37" spans="1:14" ht="13.5" thickBot="1">
      <c r="A37" s="282" t="s">
        <v>16</v>
      </c>
      <c r="B37" s="283"/>
      <c r="C37" s="195">
        <f>SUM(C14:C36)</f>
        <v>55</v>
      </c>
      <c r="D37" s="196"/>
      <c r="E37" s="196"/>
      <c r="F37" s="196"/>
      <c r="G37" s="196"/>
      <c r="H37" s="196"/>
      <c r="I37" s="197">
        <f>SUM(I14:I36)</f>
        <v>404300</v>
      </c>
      <c r="J37" s="198">
        <f>SUM(J14:J36)</f>
        <v>33556.9</v>
      </c>
      <c r="K37" s="199">
        <f>SUM(K14:K36)</f>
        <v>437856.9</v>
      </c>
      <c r="L37" s="200">
        <f>SUM(L14:L36)</f>
        <v>303600</v>
      </c>
      <c r="N37" s="191">
        <f>L37/'[1]Sheet1'!$D$68</f>
        <v>2.8212388360810055</v>
      </c>
    </row>
    <row r="38" spans="4:8" ht="12.75">
      <c r="D38" s="192">
        <f>SUM(D14:D37)</f>
        <v>187800</v>
      </c>
      <c r="E38" s="192">
        <f>SUM(E14:E37)</f>
        <v>76200</v>
      </c>
      <c r="F38" s="192">
        <f>SUM(F14:F37)</f>
        <v>351648</v>
      </c>
      <c r="G38" s="192">
        <f>SUM(G14:G37)</f>
        <v>82296</v>
      </c>
      <c r="H38" s="192">
        <f>SUM(H14:H37)</f>
        <v>264000</v>
      </c>
    </row>
    <row r="39" spans="2:11" ht="12.75">
      <c r="B39" t="s">
        <v>41</v>
      </c>
      <c r="J39" s="252" t="s">
        <v>97</v>
      </c>
      <c r="K39" s="252"/>
    </row>
    <row r="41" spans="2:11" ht="12.75">
      <c r="B41" t="s">
        <v>45</v>
      </c>
      <c r="J41" s="252" t="s">
        <v>98</v>
      </c>
      <c r="K41" s="252"/>
    </row>
  </sheetData>
  <sheetProtection/>
  <mergeCells count="15">
    <mergeCell ref="B1:H1"/>
    <mergeCell ref="A3:C3"/>
    <mergeCell ref="E4:H4"/>
    <mergeCell ref="A5:C5"/>
    <mergeCell ref="E5:H5"/>
    <mergeCell ref="I6:K6"/>
    <mergeCell ref="J41:K41"/>
    <mergeCell ref="I4:J4"/>
    <mergeCell ref="I5:J5"/>
    <mergeCell ref="H7:K7"/>
    <mergeCell ref="A8:D8"/>
    <mergeCell ref="H8:K8"/>
    <mergeCell ref="D11:H11"/>
    <mergeCell ref="A37:B37"/>
    <mergeCell ref="J39:K39"/>
  </mergeCell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421875" style="0" customWidth="1"/>
    <col min="2" max="2" width="56.7109375" style="0" customWidth="1"/>
    <col min="3" max="3" width="6.57421875" style="0" customWidth="1"/>
    <col min="4" max="5" width="9.7109375" style="0" customWidth="1"/>
    <col min="6" max="7" width="13.421875" style="0" customWidth="1"/>
    <col min="8" max="8" width="12.140625" style="0" customWidth="1"/>
    <col min="9" max="10" width="9.7109375" style="0" hidden="1" customWidth="1"/>
    <col min="11" max="11" width="17.7109375" style="0" customWidth="1"/>
    <col min="12" max="12" width="17.140625" style="0" customWidth="1"/>
    <col min="13" max="13" width="12.140625" style="0" customWidth="1"/>
    <col min="14" max="14" width="18.28125" style="0" customWidth="1"/>
    <col min="15" max="15" width="13.7109375" style="0" customWidth="1"/>
    <col min="16" max="17" width="9.7109375" style="0" customWidth="1"/>
  </cols>
  <sheetData>
    <row r="1" spans="1:17" ht="15" customHeight="1">
      <c r="A1" s="203"/>
      <c r="B1" s="204" t="s">
        <v>89</v>
      </c>
      <c r="C1" s="205">
        <f>C28</f>
        <v>55</v>
      </c>
      <c r="D1" s="284"/>
      <c r="E1" s="284"/>
      <c r="F1" s="284"/>
      <c r="G1" s="284"/>
      <c r="H1" s="284"/>
      <c r="I1" s="223"/>
      <c r="J1" s="223"/>
      <c r="K1" s="203"/>
      <c r="L1" s="219" t="s">
        <v>136</v>
      </c>
      <c r="M1" s="203"/>
      <c r="N1" s="203"/>
      <c r="O1" s="224"/>
      <c r="P1" s="224"/>
      <c r="Q1" s="224"/>
    </row>
    <row r="2" spans="1:17" ht="15" customHeight="1">
      <c r="A2" s="270" t="s">
        <v>129</v>
      </c>
      <c r="B2" s="276" t="s">
        <v>128</v>
      </c>
      <c r="C2" s="270" t="s">
        <v>127</v>
      </c>
      <c r="D2" s="273" t="s">
        <v>126</v>
      </c>
      <c r="E2" s="273"/>
      <c r="F2" s="273"/>
      <c r="G2" s="273"/>
      <c r="H2" s="273"/>
      <c r="I2" s="221"/>
      <c r="J2" s="221"/>
      <c r="K2" s="264" t="s">
        <v>124</v>
      </c>
      <c r="L2" s="264" t="s">
        <v>131</v>
      </c>
      <c r="M2" s="264" t="s">
        <v>120</v>
      </c>
      <c r="N2" s="260" t="s">
        <v>135</v>
      </c>
      <c r="O2" s="224"/>
      <c r="P2" s="224"/>
      <c r="Q2" s="224"/>
    </row>
    <row r="3" spans="1:17" ht="15" customHeight="1">
      <c r="A3" s="271"/>
      <c r="B3" s="277"/>
      <c r="C3" s="271"/>
      <c r="D3" s="273" t="s">
        <v>123</v>
      </c>
      <c r="E3" s="273"/>
      <c r="F3" s="275" t="s">
        <v>122</v>
      </c>
      <c r="G3" s="230"/>
      <c r="H3" s="264" t="s">
        <v>121</v>
      </c>
      <c r="I3" s="214"/>
      <c r="J3" s="227"/>
      <c r="K3" s="265"/>
      <c r="L3" s="265"/>
      <c r="M3" s="265"/>
      <c r="N3" s="261"/>
      <c r="O3" s="224"/>
      <c r="P3" s="224"/>
      <c r="Q3" s="224"/>
    </row>
    <row r="4" spans="1:17" ht="15" customHeight="1">
      <c r="A4" s="272"/>
      <c r="B4" s="278"/>
      <c r="C4" s="272"/>
      <c r="D4" s="208" t="s">
        <v>117</v>
      </c>
      <c r="E4" s="208" t="s">
        <v>116</v>
      </c>
      <c r="F4" s="275"/>
      <c r="G4" s="231"/>
      <c r="H4" s="266"/>
      <c r="I4" s="208"/>
      <c r="J4" s="228"/>
      <c r="K4" s="266"/>
      <c r="L4" s="266"/>
      <c r="M4" s="266"/>
      <c r="N4" s="262"/>
      <c r="O4" s="224"/>
      <c r="P4" s="224"/>
      <c r="Q4" s="224"/>
    </row>
    <row r="5" spans="1:17" ht="15" customHeight="1">
      <c r="A5" s="208" t="s">
        <v>40</v>
      </c>
      <c r="B5" s="217" t="s">
        <v>41</v>
      </c>
      <c r="C5" s="208">
        <v>1</v>
      </c>
      <c r="D5" s="218">
        <v>25000</v>
      </c>
      <c r="E5" s="218">
        <v>10000</v>
      </c>
      <c r="F5" s="218">
        <f>(D5+E5)</f>
        <v>35000</v>
      </c>
      <c r="G5" s="218"/>
      <c r="H5" s="218">
        <f aca="true" t="shared" si="0" ref="H5:H27">F5*C5</f>
        <v>35000</v>
      </c>
      <c r="I5" s="218"/>
      <c r="J5" s="218"/>
      <c r="K5" s="209">
        <f>H5*0.083</f>
        <v>2905</v>
      </c>
      <c r="L5" s="209">
        <f aca="true" t="shared" si="1" ref="L5:L27">H5+K5</f>
        <v>37905</v>
      </c>
      <c r="M5" s="209">
        <f>L5*0.202</f>
        <v>7656.81</v>
      </c>
      <c r="N5" s="209">
        <f>H5-0.13*H5</f>
        <v>30450</v>
      </c>
      <c r="O5" s="225"/>
      <c r="P5" s="224"/>
      <c r="Q5" s="224"/>
    </row>
    <row r="6" spans="1:17" ht="15" customHeight="1">
      <c r="A6" s="208" t="s">
        <v>42</v>
      </c>
      <c r="B6" s="217" t="s">
        <v>43</v>
      </c>
      <c r="C6" s="208">
        <v>1</v>
      </c>
      <c r="D6" s="229">
        <v>14950</v>
      </c>
      <c r="E6" s="229">
        <v>19550</v>
      </c>
      <c r="F6" s="218">
        <f aca="true" t="shared" si="2" ref="F6:F27">(D6+E6)</f>
        <v>34500</v>
      </c>
      <c r="G6" s="218"/>
      <c r="H6" s="218">
        <f t="shared" si="0"/>
        <v>34500</v>
      </c>
      <c r="I6" s="218"/>
      <c r="J6" s="218"/>
      <c r="K6" s="209">
        <f aca="true" t="shared" si="3" ref="K6:K27">H6*0.083</f>
        <v>2863.5</v>
      </c>
      <c r="L6" s="209">
        <f t="shared" si="1"/>
        <v>37363.5</v>
      </c>
      <c r="M6" s="209">
        <f aca="true" t="shared" si="4" ref="M6:M27">L6*0.202</f>
        <v>7547.427000000001</v>
      </c>
      <c r="N6" s="209">
        <f aca="true" t="shared" si="5" ref="N6:N27">H6-0.13*H6</f>
        <v>30015</v>
      </c>
      <c r="O6" s="225"/>
      <c r="P6" s="224"/>
      <c r="Q6" s="224"/>
    </row>
    <row r="7" spans="1:17" ht="15" customHeight="1">
      <c r="A7" s="208" t="s">
        <v>44</v>
      </c>
      <c r="B7" s="217" t="s">
        <v>45</v>
      </c>
      <c r="C7" s="208">
        <v>1</v>
      </c>
      <c r="D7" s="218">
        <v>23575</v>
      </c>
      <c r="E7" s="218"/>
      <c r="F7" s="218">
        <f t="shared" si="2"/>
        <v>23575</v>
      </c>
      <c r="G7" s="218"/>
      <c r="H7" s="218">
        <f t="shared" si="0"/>
        <v>23575</v>
      </c>
      <c r="I7" s="218"/>
      <c r="J7" s="218"/>
      <c r="K7" s="209">
        <f t="shared" si="3"/>
        <v>1956.7250000000001</v>
      </c>
      <c r="L7" s="209">
        <f t="shared" si="1"/>
        <v>25531.725</v>
      </c>
      <c r="M7" s="209">
        <f t="shared" si="4"/>
        <v>5157.40845</v>
      </c>
      <c r="N7" s="209">
        <f t="shared" si="5"/>
        <v>20510.25</v>
      </c>
      <c r="O7" s="225"/>
      <c r="P7" s="224"/>
      <c r="Q7" s="224"/>
    </row>
    <row r="8" spans="1:17" ht="15" customHeight="1">
      <c r="A8" s="208" t="s">
        <v>46</v>
      </c>
      <c r="B8" s="217" t="s">
        <v>45</v>
      </c>
      <c r="C8" s="208">
        <v>1</v>
      </c>
      <c r="D8" s="218">
        <v>9775</v>
      </c>
      <c r="E8" s="218">
        <v>13800</v>
      </c>
      <c r="F8" s="218">
        <f t="shared" si="2"/>
        <v>23575</v>
      </c>
      <c r="G8" s="218"/>
      <c r="H8" s="218">
        <f t="shared" si="0"/>
        <v>23575</v>
      </c>
      <c r="I8" s="218"/>
      <c r="J8" s="218"/>
      <c r="K8" s="209">
        <f t="shared" si="3"/>
        <v>1956.7250000000001</v>
      </c>
      <c r="L8" s="209">
        <f t="shared" si="1"/>
        <v>25531.725</v>
      </c>
      <c r="M8" s="209">
        <f t="shared" si="4"/>
        <v>5157.40845</v>
      </c>
      <c r="N8" s="209">
        <f t="shared" si="5"/>
        <v>20510.25</v>
      </c>
      <c r="O8" s="225"/>
      <c r="P8" s="224"/>
      <c r="Q8" s="224"/>
    </row>
    <row r="9" spans="1:17" ht="15" customHeight="1">
      <c r="A9" s="208" t="s">
        <v>47</v>
      </c>
      <c r="B9" s="217" t="s">
        <v>48</v>
      </c>
      <c r="C9" s="208">
        <v>1</v>
      </c>
      <c r="D9" s="218">
        <v>10925</v>
      </c>
      <c r="E9" s="218"/>
      <c r="F9" s="218">
        <f t="shared" si="2"/>
        <v>10925</v>
      </c>
      <c r="G9" s="218"/>
      <c r="H9" s="218">
        <f t="shared" si="0"/>
        <v>10925</v>
      </c>
      <c r="I9" s="218"/>
      <c r="J9" s="218"/>
      <c r="K9" s="209">
        <f t="shared" si="3"/>
        <v>906.7750000000001</v>
      </c>
      <c r="L9" s="209">
        <f t="shared" si="1"/>
        <v>11831.775</v>
      </c>
      <c r="M9" s="209">
        <f t="shared" si="4"/>
        <v>2390.0185500000002</v>
      </c>
      <c r="N9" s="209">
        <f t="shared" si="5"/>
        <v>9504.75</v>
      </c>
      <c r="O9" s="225"/>
      <c r="P9" s="224"/>
      <c r="Q9" s="224"/>
    </row>
    <row r="10" spans="1:17" ht="15" customHeight="1">
      <c r="A10" s="208" t="s">
        <v>49</v>
      </c>
      <c r="B10" s="217" t="s">
        <v>132</v>
      </c>
      <c r="C10" s="208">
        <v>1</v>
      </c>
      <c r="D10" s="218">
        <v>11500</v>
      </c>
      <c r="E10" s="229">
        <v>8050</v>
      </c>
      <c r="F10" s="218">
        <f t="shared" si="2"/>
        <v>19550</v>
      </c>
      <c r="G10" s="218"/>
      <c r="H10" s="218">
        <f t="shared" si="0"/>
        <v>19550</v>
      </c>
      <c r="I10" s="218"/>
      <c r="J10" s="218"/>
      <c r="K10" s="209">
        <f t="shared" si="3"/>
        <v>1622.65</v>
      </c>
      <c r="L10" s="209">
        <f t="shared" si="1"/>
        <v>21172.65</v>
      </c>
      <c r="M10" s="209">
        <f t="shared" si="4"/>
        <v>4276.875300000001</v>
      </c>
      <c r="N10" s="209">
        <f t="shared" si="5"/>
        <v>17008.5</v>
      </c>
      <c r="O10" s="225"/>
      <c r="P10" s="224"/>
      <c r="Q10" s="224"/>
    </row>
    <row r="11" spans="1:17" ht="15" customHeight="1">
      <c r="A11" s="208" t="s">
        <v>51</v>
      </c>
      <c r="B11" s="217" t="s">
        <v>52</v>
      </c>
      <c r="C11" s="208">
        <v>3</v>
      </c>
      <c r="D11" s="218">
        <v>17825</v>
      </c>
      <c r="E11" s="218"/>
      <c r="F11" s="218">
        <f t="shared" si="2"/>
        <v>17825</v>
      </c>
      <c r="G11" s="218"/>
      <c r="H11" s="218">
        <f t="shared" si="0"/>
        <v>53475</v>
      </c>
      <c r="I11" s="218"/>
      <c r="J11" s="218"/>
      <c r="K11" s="209">
        <f t="shared" si="3"/>
        <v>4438.425</v>
      </c>
      <c r="L11" s="209">
        <f t="shared" si="1"/>
        <v>57913.425</v>
      </c>
      <c r="M11" s="209">
        <f t="shared" si="4"/>
        <v>11698.51185</v>
      </c>
      <c r="N11" s="209">
        <f t="shared" si="5"/>
        <v>46523.25</v>
      </c>
      <c r="O11" s="225">
        <f>N11/3</f>
        <v>15507.75</v>
      </c>
      <c r="P11" s="224"/>
      <c r="Q11" s="224"/>
    </row>
    <row r="12" spans="1:17" ht="15" customHeight="1">
      <c r="A12" s="208" t="s">
        <v>53</v>
      </c>
      <c r="B12" s="217" t="s">
        <v>52</v>
      </c>
      <c r="C12" s="208">
        <v>1</v>
      </c>
      <c r="D12" s="218"/>
      <c r="E12" s="218">
        <v>17825</v>
      </c>
      <c r="F12" s="218">
        <f t="shared" si="2"/>
        <v>17825</v>
      </c>
      <c r="G12" s="218"/>
      <c r="H12" s="218">
        <f t="shared" si="0"/>
        <v>17825</v>
      </c>
      <c r="I12" s="218"/>
      <c r="J12" s="218"/>
      <c r="K12" s="209">
        <f t="shared" si="3"/>
        <v>1479.4750000000001</v>
      </c>
      <c r="L12" s="209">
        <f t="shared" si="1"/>
        <v>19304.475</v>
      </c>
      <c r="M12" s="209">
        <f t="shared" si="4"/>
        <v>3899.50395</v>
      </c>
      <c r="N12" s="209">
        <f t="shared" si="5"/>
        <v>15507.75</v>
      </c>
      <c r="O12" s="225"/>
      <c r="P12" s="224"/>
      <c r="Q12" s="224"/>
    </row>
    <row r="13" spans="1:17" ht="15" customHeight="1">
      <c r="A13" s="208" t="s">
        <v>54</v>
      </c>
      <c r="B13" s="217" t="s">
        <v>113</v>
      </c>
      <c r="C13" s="208">
        <v>1</v>
      </c>
      <c r="D13" s="218">
        <v>17825</v>
      </c>
      <c r="E13" s="218">
        <v>5770</v>
      </c>
      <c r="F13" s="218">
        <f t="shared" si="2"/>
        <v>23595</v>
      </c>
      <c r="G13" s="218"/>
      <c r="H13" s="218">
        <f t="shared" si="0"/>
        <v>23595</v>
      </c>
      <c r="I13" s="218"/>
      <c r="J13" s="218"/>
      <c r="K13" s="209">
        <f t="shared" si="3"/>
        <v>1958.385</v>
      </c>
      <c r="L13" s="209">
        <f t="shared" si="1"/>
        <v>25553.385</v>
      </c>
      <c r="M13" s="209">
        <f t="shared" si="4"/>
        <v>5161.78377</v>
      </c>
      <c r="N13" s="209">
        <f t="shared" si="5"/>
        <v>20527.65</v>
      </c>
      <c r="O13" s="225"/>
      <c r="P13" s="224"/>
      <c r="Q13" s="224"/>
    </row>
    <row r="14" spans="1:17" ht="15" customHeight="1">
      <c r="A14" s="208" t="s">
        <v>56</v>
      </c>
      <c r="B14" s="217" t="s">
        <v>112</v>
      </c>
      <c r="C14" s="208">
        <v>1</v>
      </c>
      <c r="D14" s="218">
        <v>11500</v>
      </c>
      <c r="E14" s="218">
        <v>6325</v>
      </c>
      <c r="F14" s="218">
        <f t="shared" si="2"/>
        <v>17825</v>
      </c>
      <c r="G14" s="218"/>
      <c r="H14" s="218">
        <f t="shared" si="0"/>
        <v>17825</v>
      </c>
      <c r="I14" s="218"/>
      <c r="J14" s="218"/>
      <c r="K14" s="209">
        <f t="shared" si="3"/>
        <v>1479.4750000000001</v>
      </c>
      <c r="L14" s="209">
        <f t="shared" si="1"/>
        <v>19304.475</v>
      </c>
      <c r="M14" s="209">
        <f t="shared" si="4"/>
        <v>3899.50395</v>
      </c>
      <c r="N14" s="209">
        <f t="shared" si="5"/>
        <v>15507.75</v>
      </c>
      <c r="O14" s="225"/>
      <c r="P14" s="224"/>
      <c r="Q14" s="224"/>
    </row>
    <row r="15" spans="1:17" ht="15" customHeight="1">
      <c r="A15" s="208" t="s">
        <v>58</v>
      </c>
      <c r="B15" s="217" t="s">
        <v>118</v>
      </c>
      <c r="C15" s="208">
        <v>1</v>
      </c>
      <c r="D15" s="218">
        <v>6000</v>
      </c>
      <c r="E15" s="218"/>
      <c r="F15" s="218">
        <f t="shared" si="2"/>
        <v>6000</v>
      </c>
      <c r="G15" s="218"/>
      <c r="H15" s="218">
        <f t="shared" si="0"/>
        <v>6000</v>
      </c>
      <c r="I15" s="218"/>
      <c r="J15" s="218"/>
      <c r="K15" s="209">
        <f t="shared" si="3"/>
        <v>498</v>
      </c>
      <c r="L15" s="209">
        <f t="shared" si="1"/>
        <v>6498</v>
      </c>
      <c r="M15" s="209">
        <f t="shared" si="4"/>
        <v>1312.596</v>
      </c>
      <c r="N15" s="209">
        <f t="shared" si="5"/>
        <v>5220</v>
      </c>
      <c r="O15" s="225"/>
      <c r="P15" s="224"/>
      <c r="Q15" s="224"/>
    </row>
    <row r="16" spans="1:17" ht="15" customHeight="1">
      <c r="A16" s="208" t="s">
        <v>60</v>
      </c>
      <c r="B16" s="217" t="s">
        <v>63</v>
      </c>
      <c r="C16" s="208">
        <v>1</v>
      </c>
      <c r="D16" s="218">
        <v>11500</v>
      </c>
      <c r="E16" s="218">
        <v>4600</v>
      </c>
      <c r="F16" s="218">
        <f t="shared" si="2"/>
        <v>16100</v>
      </c>
      <c r="G16" s="218"/>
      <c r="H16" s="218">
        <f t="shared" si="0"/>
        <v>16100</v>
      </c>
      <c r="I16" s="218"/>
      <c r="J16" s="218"/>
      <c r="K16" s="209">
        <f t="shared" si="3"/>
        <v>1336.3000000000002</v>
      </c>
      <c r="L16" s="209">
        <f t="shared" si="1"/>
        <v>17436.3</v>
      </c>
      <c r="M16" s="209">
        <f t="shared" si="4"/>
        <v>3522.1326</v>
      </c>
      <c r="N16" s="209">
        <f t="shared" si="5"/>
        <v>14007</v>
      </c>
      <c r="O16" s="225"/>
      <c r="P16" s="224"/>
      <c r="Q16" s="224"/>
    </row>
    <row r="17" spans="1:17" ht="15" customHeight="1">
      <c r="A17" s="208" t="s">
        <v>62</v>
      </c>
      <c r="B17" s="217" t="s">
        <v>63</v>
      </c>
      <c r="C17" s="208">
        <v>1</v>
      </c>
      <c r="D17" s="218">
        <v>10350</v>
      </c>
      <c r="E17" s="218">
        <v>4600</v>
      </c>
      <c r="F17" s="218">
        <f t="shared" si="2"/>
        <v>14950</v>
      </c>
      <c r="G17" s="218"/>
      <c r="H17" s="218">
        <f t="shared" si="0"/>
        <v>14950</v>
      </c>
      <c r="I17" s="218"/>
      <c r="J17" s="218"/>
      <c r="K17" s="209">
        <f t="shared" si="3"/>
        <v>1240.8500000000001</v>
      </c>
      <c r="L17" s="209">
        <f t="shared" si="1"/>
        <v>16190.85</v>
      </c>
      <c r="M17" s="209">
        <f t="shared" si="4"/>
        <v>3270.5517000000004</v>
      </c>
      <c r="N17" s="209">
        <f t="shared" si="5"/>
        <v>13006.5</v>
      </c>
      <c r="O17" s="225"/>
      <c r="P17" s="224"/>
      <c r="Q17" s="224"/>
    </row>
    <row r="18" spans="1:17" ht="15" customHeight="1">
      <c r="A18" s="208" t="s">
        <v>64</v>
      </c>
      <c r="B18" s="217" t="s">
        <v>65</v>
      </c>
      <c r="C18" s="208">
        <v>2</v>
      </c>
      <c r="D18" s="218">
        <v>9200</v>
      </c>
      <c r="E18" s="218">
        <v>2300</v>
      </c>
      <c r="F18" s="218">
        <f t="shared" si="2"/>
        <v>11500</v>
      </c>
      <c r="G18" s="218"/>
      <c r="H18" s="218">
        <f t="shared" si="0"/>
        <v>23000</v>
      </c>
      <c r="I18" s="218"/>
      <c r="J18" s="218"/>
      <c r="K18" s="209">
        <f t="shared" si="3"/>
        <v>1909</v>
      </c>
      <c r="L18" s="209">
        <f t="shared" si="1"/>
        <v>24909</v>
      </c>
      <c r="M18" s="209">
        <f t="shared" si="4"/>
        <v>5031.618</v>
      </c>
      <c r="N18" s="209">
        <f t="shared" si="5"/>
        <v>20010</v>
      </c>
      <c r="O18" s="225">
        <f>N18/2</f>
        <v>10005</v>
      </c>
      <c r="P18" s="224"/>
      <c r="Q18" s="224"/>
    </row>
    <row r="19" spans="1:17" ht="15" customHeight="1">
      <c r="A19" s="208" t="s">
        <v>66</v>
      </c>
      <c r="B19" s="217" t="s">
        <v>67</v>
      </c>
      <c r="C19" s="208">
        <v>2</v>
      </c>
      <c r="D19" s="218">
        <v>9200</v>
      </c>
      <c r="E19" s="218">
        <v>4600</v>
      </c>
      <c r="F19" s="218">
        <f t="shared" si="2"/>
        <v>13800</v>
      </c>
      <c r="G19" s="218"/>
      <c r="H19" s="218">
        <f t="shared" si="0"/>
        <v>27600</v>
      </c>
      <c r="I19" s="218"/>
      <c r="J19" s="218"/>
      <c r="K19" s="209">
        <f t="shared" si="3"/>
        <v>2290.8</v>
      </c>
      <c r="L19" s="209">
        <f t="shared" si="1"/>
        <v>29890.8</v>
      </c>
      <c r="M19" s="209">
        <f t="shared" si="4"/>
        <v>6037.9416</v>
      </c>
      <c r="N19" s="209">
        <f t="shared" si="5"/>
        <v>24012</v>
      </c>
      <c r="O19" s="225">
        <f>N19/2</f>
        <v>12006</v>
      </c>
      <c r="P19" s="224"/>
      <c r="Q19" s="224"/>
    </row>
    <row r="20" spans="1:17" ht="15" customHeight="1">
      <c r="A20" s="208" t="s">
        <v>68</v>
      </c>
      <c r="B20" s="217" t="s">
        <v>69</v>
      </c>
      <c r="C20" s="208">
        <v>2</v>
      </c>
      <c r="D20" s="218">
        <v>5175</v>
      </c>
      <c r="E20" s="218">
        <v>2300</v>
      </c>
      <c r="F20" s="218">
        <f t="shared" si="2"/>
        <v>7475</v>
      </c>
      <c r="G20" s="218"/>
      <c r="H20" s="218">
        <f t="shared" si="0"/>
        <v>14950</v>
      </c>
      <c r="I20" s="218"/>
      <c r="J20" s="218"/>
      <c r="K20" s="209">
        <f t="shared" si="3"/>
        <v>1240.8500000000001</v>
      </c>
      <c r="L20" s="209">
        <f t="shared" si="1"/>
        <v>16190.85</v>
      </c>
      <c r="M20" s="209">
        <f t="shared" si="4"/>
        <v>3270.5517000000004</v>
      </c>
      <c r="N20" s="209">
        <f t="shared" si="5"/>
        <v>13006.5</v>
      </c>
      <c r="O20" s="225">
        <f>N20/2</f>
        <v>6503.25</v>
      </c>
      <c r="P20" s="224"/>
      <c r="Q20" s="224"/>
    </row>
    <row r="21" spans="1:17" ht="15" customHeight="1">
      <c r="A21" s="208" t="s">
        <v>70</v>
      </c>
      <c r="B21" s="217" t="s">
        <v>71</v>
      </c>
      <c r="C21" s="208">
        <v>2</v>
      </c>
      <c r="D21" s="218">
        <v>9200</v>
      </c>
      <c r="E21" s="218">
        <v>4600</v>
      </c>
      <c r="F21" s="218">
        <f t="shared" si="2"/>
        <v>13800</v>
      </c>
      <c r="G21" s="218"/>
      <c r="H21" s="218">
        <f t="shared" si="0"/>
        <v>27600</v>
      </c>
      <c r="I21" s="218"/>
      <c r="J21" s="218"/>
      <c r="K21" s="209">
        <f t="shared" si="3"/>
        <v>2290.8</v>
      </c>
      <c r="L21" s="209">
        <f t="shared" si="1"/>
        <v>29890.8</v>
      </c>
      <c r="M21" s="209">
        <f t="shared" si="4"/>
        <v>6037.9416</v>
      </c>
      <c r="N21" s="209">
        <f t="shared" si="5"/>
        <v>24012</v>
      </c>
      <c r="O21" s="225">
        <f>N21/2</f>
        <v>12006</v>
      </c>
      <c r="P21" s="224"/>
      <c r="Q21" s="224"/>
    </row>
    <row r="22" spans="1:17" ht="15" customHeight="1">
      <c r="A22" s="208" t="s">
        <v>72</v>
      </c>
      <c r="B22" s="217" t="s">
        <v>106</v>
      </c>
      <c r="C22" s="208">
        <v>7</v>
      </c>
      <c r="D22" s="218">
        <v>2650</v>
      </c>
      <c r="E22" s="218"/>
      <c r="F22" s="218">
        <f t="shared" si="2"/>
        <v>2650</v>
      </c>
      <c r="G22" s="218"/>
      <c r="H22" s="218">
        <f t="shared" si="0"/>
        <v>18550</v>
      </c>
      <c r="I22" s="218"/>
      <c r="J22" s="218"/>
      <c r="K22" s="209">
        <f t="shared" si="3"/>
        <v>1539.65</v>
      </c>
      <c r="L22" s="209">
        <f t="shared" si="1"/>
        <v>20089.65</v>
      </c>
      <c r="M22" s="209">
        <f t="shared" si="4"/>
        <v>4058.1093000000005</v>
      </c>
      <c r="N22" s="209">
        <f t="shared" si="5"/>
        <v>16138.5</v>
      </c>
      <c r="O22" s="225">
        <f>N22/7</f>
        <v>2305.5</v>
      </c>
      <c r="P22" s="224"/>
      <c r="Q22" s="224"/>
    </row>
    <row r="23" spans="1:17" ht="15" customHeight="1">
      <c r="A23" s="208" t="s">
        <v>74</v>
      </c>
      <c r="B23" s="217" t="s">
        <v>107</v>
      </c>
      <c r="C23" s="208">
        <v>6</v>
      </c>
      <c r="D23" s="218">
        <v>2650</v>
      </c>
      <c r="E23" s="218"/>
      <c r="F23" s="218">
        <f t="shared" si="2"/>
        <v>2650</v>
      </c>
      <c r="G23" s="218"/>
      <c r="H23" s="218">
        <f t="shared" si="0"/>
        <v>15900</v>
      </c>
      <c r="I23" s="218"/>
      <c r="J23" s="218"/>
      <c r="K23" s="209">
        <f t="shared" si="3"/>
        <v>1319.7</v>
      </c>
      <c r="L23" s="209">
        <f t="shared" si="1"/>
        <v>17219.7</v>
      </c>
      <c r="M23" s="209">
        <f t="shared" si="4"/>
        <v>3478.3794000000003</v>
      </c>
      <c r="N23" s="209">
        <f t="shared" si="5"/>
        <v>13833</v>
      </c>
      <c r="O23" s="225">
        <f>N23/6</f>
        <v>2305.5</v>
      </c>
      <c r="P23" s="224"/>
      <c r="Q23" s="224"/>
    </row>
    <row r="24" spans="1:17" ht="15" customHeight="1">
      <c r="A24" s="208" t="s">
        <v>76</v>
      </c>
      <c r="B24" s="217" t="s">
        <v>108</v>
      </c>
      <c r="C24" s="208">
        <v>7</v>
      </c>
      <c r="D24" s="218">
        <v>3245</v>
      </c>
      <c r="E24" s="218"/>
      <c r="F24" s="218">
        <f t="shared" si="2"/>
        <v>3245</v>
      </c>
      <c r="G24" s="218"/>
      <c r="H24" s="218">
        <f t="shared" si="0"/>
        <v>22715</v>
      </c>
      <c r="I24" s="218"/>
      <c r="J24" s="218"/>
      <c r="K24" s="209">
        <f t="shared" si="3"/>
        <v>1885.345</v>
      </c>
      <c r="L24" s="209">
        <f t="shared" si="1"/>
        <v>24600.345</v>
      </c>
      <c r="M24" s="209">
        <f t="shared" si="4"/>
        <v>4969.269690000001</v>
      </c>
      <c r="N24" s="209">
        <f t="shared" si="5"/>
        <v>19762.05</v>
      </c>
      <c r="O24" s="225">
        <f>N24/7</f>
        <v>2823.15</v>
      </c>
      <c r="P24" s="224"/>
      <c r="Q24" s="224"/>
    </row>
    <row r="25" spans="1:17" ht="15" customHeight="1">
      <c r="A25" s="208" t="s">
        <v>78</v>
      </c>
      <c r="B25" s="217" t="s">
        <v>133</v>
      </c>
      <c r="C25" s="208">
        <v>5</v>
      </c>
      <c r="D25" s="218">
        <v>3245</v>
      </c>
      <c r="E25" s="218"/>
      <c r="F25" s="218">
        <f t="shared" si="2"/>
        <v>3245</v>
      </c>
      <c r="G25" s="218"/>
      <c r="H25" s="218">
        <f t="shared" si="0"/>
        <v>16225</v>
      </c>
      <c r="I25" s="218"/>
      <c r="J25" s="218"/>
      <c r="K25" s="209">
        <f t="shared" si="3"/>
        <v>1346.6750000000002</v>
      </c>
      <c r="L25" s="209">
        <f t="shared" si="1"/>
        <v>17571.675</v>
      </c>
      <c r="M25" s="209">
        <f t="shared" si="4"/>
        <v>3549.47835</v>
      </c>
      <c r="N25" s="209">
        <f t="shared" si="5"/>
        <v>14115.75</v>
      </c>
      <c r="O25" s="225">
        <f>N25/5</f>
        <v>2823.15</v>
      </c>
      <c r="P25" s="224"/>
      <c r="Q25" s="224"/>
    </row>
    <row r="26" spans="1:17" ht="15" customHeight="1">
      <c r="A26" s="208" t="s">
        <v>80</v>
      </c>
      <c r="B26" s="217" t="s">
        <v>134</v>
      </c>
      <c r="C26" s="208">
        <v>6</v>
      </c>
      <c r="D26" s="218">
        <v>3245</v>
      </c>
      <c r="E26" s="218"/>
      <c r="F26" s="218">
        <f t="shared" si="2"/>
        <v>3245</v>
      </c>
      <c r="G26" s="218"/>
      <c r="H26" s="218">
        <f t="shared" si="0"/>
        <v>19470</v>
      </c>
      <c r="I26" s="218"/>
      <c r="J26" s="218"/>
      <c r="K26" s="209">
        <f t="shared" si="3"/>
        <v>1616.01</v>
      </c>
      <c r="L26" s="209">
        <f t="shared" si="1"/>
        <v>21086.01</v>
      </c>
      <c r="M26" s="209">
        <f>L26*0.202</f>
        <v>4259.37402</v>
      </c>
      <c r="N26" s="209">
        <f t="shared" si="5"/>
        <v>16938.9</v>
      </c>
      <c r="O26" s="225">
        <f>N26/6</f>
        <v>2823.15</v>
      </c>
      <c r="P26" s="224"/>
      <c r="Q26" s="224"/>
    </row>
    <row r="27" spans="1:17" ht="15" customHeight="1">
      <c r="A27" s="208" t="s">
        <v>82</v>
      </c>
      <c r="B27" s="217" t="s">
        <v>83</v>
      </c>
      <c r="C27" s="208">
        <v>1</v>
      </c>
      <c r="D27" s="218">
        <v>1750</v>
      </c>
      <c r="E27" s="218">
        <v>575</v>
      </c>
      <c r="F27" s="218">
        <f t="shared" si="2"/>
        <v>2325</v>
      </c>
      <c r="G27" s="218"/>
      <c r="H27" s="218">
        <f t="shared" si="0"/>
        <v>2325</v>
      </c>
      <c r="I27" s="218"/>
      <c r="J27" s="218"/>
      <c r="K27" s="209">
        <f t="shared" si="3"/>
        <v>192.97500000000002</v>
      </c>
      <c r="L27" s="209">
        <f t="shared" si="1"/>
        <v>2517.975</v>
      </c>
      <c r="M27" s="209">
        <f t="shared" si="4"/>
        <v>508.63095000000004</v>
      </c>
      <c r="N27" s="209">
        <f t="shared" si="5"/>
        <v>2022.75</v>
      </c>
      <c r="O27" s="225"/>
      <c r="P27" s="224"/>
      <c r="Q27" s="224"/>
    </row>
    <row r="28" spans="1:17" ht="15" customHeight="1">
      <c r="A28" s="269" t="s">
        <v>16</v>
      </c>
      <c r="B28" s="269"/>
      <c r="C28" s="208">
        <f aca="true" t="shared" si="6" ref="C28:H28">SUM(C5:C27)</f>
        <v>55</v>
      </c>
      <c r="D28" s="209">
        <f t="shared" si="6"/>
        <v>220285</v>
      </c>
      <c r="E28" s="209">
        <f t="shared" si="6"/>
        <v>104895</v>
      </c>
      <c r="F28" s="209">
        <f t="shared" si="6"/>
        <v>325180</v>
      </c>
      <c r="G28" s="209">
        <f t="shared" si="6"/>
        <v>0</v>
      </c>
      <c r="H28" s="209">
        <f t="shared" si="6"/>
        <v>485230</v>
      </c>
      <c r="I28" s="209"/>
      <c r="J28" s="209"/>
      <c r="K28" s="209">
        <f>SUM(K5:K27)</f>
        <v>40274.08999999999</v>
      </c>
      <c r="L28" s="232">
        <f>SUM(L5:L27)</f>
        <v>525504.09</v>
      </c>
      <c r="M28" s="209">
        <f>SUM(M5:M27)</f>
        <v>106151.82618000002</v>
      </c>
      <c r="N28" s="209">
        <f>SUM(N5:N27)</f>
        <v>422150.10000000003</v>
      </c>
      <c r="O28" s="225"/>
      <c r="P28" s="224"/>
      <c r="Q28" s="224"/>
    </row>
    <row r="29" spans="1:17" ht="15" customHeight="1">
      <c r="A29" s="203"/>
      <c r="B29" s="224"/>
      <c r="C29" s="224"/>
      <c r="D29" s="224"/>
      <c r="E29" s="224"/>
      <c r="F29" s="263" t="s">
        <v>130</v>
      </c>
      <c r="G29" s="263"/>
      <c r="H29" s="263"/>
      <c r="I29" s="263"/>
      <c r="J29" s="263"/>
      <c r="K29" s="263"/>
      <c r="L29" s="216">
        <f>L28*12</f>
        <v>6306049.08</v>
      </c>
      <c r="M29" s="216">
        <f>M28*12</f>
        <v>1273821.9141600002</v>
      </c>
      <c r="N29" s="207"/>
      <c r="O29" s="224"/>
      <c r="P29" s="224"/>
      <c r="Q29" s="224"/>
    </row>
    <row r="30" spans="1:17" ht="15" customHeight="1">
      <c r="A30" s="203"/>
      <c r="B30" s="203" t="s">
        <v>41</v>
      </c>
      <c r="C30" s="210" t="s">
        <v>101</v>
      </c>
      <c r="D30" s="224"/>
      <c r="E30" s="224"/>
      <c r="F30" s="203">
        <f>F28*12</f>
        <v>3902160</v>
      </c>
      <c r="G30" s="203"/>
      <c r="H30" s="224"/>
      <c r="I30" s="224"/>
      <c r="J30" s="224"/>
      <c r="K30" s="203"/>
      <c r="L30" s="203"/>
      <c r="M30" s="203"/>
      <c r="N30" s="226">
        <f>N28*1.13*1.083*1.032</f>
        <v>533155.009147128</v>
      </c>
      <c r="O30" s="224"/>
      <c r="P30" s="224"/>
      <c r="Q30" s="224"/>
    </row>
    <row r="31" spans="1:17" ht="15" customHeight="1">
      <c r="A31" s="203"/>
      <c r="B31" s="203" t="s">
        <v>45</v>
      </c>
      <c r="C31" s="210" t="s">
        <v>102</v>
      </c>
      <c r="D31" s="224"/>
      <c r="E31" s="224"/>
      <c r="F31" s="203"/>
      <c r="G31" s="207">
        <f>G28-F28</f>
        <v>-325180</v>
      </c>
      <c r="H31" s="224"/>
      <c r="I31" s="224"/>
      <c r="J31" s="224"/>
      <c r="K31" s="203"/>
      <c r="L31" s="207">
        <f>SUM(L29:M29)</f>
        <v>7579870.99416</v>
      </c>
      <c r="M31" s="203"/>
      <c r="N31" s="203"/>
      <c r="O31" s="224"/>
      <c r="P31" s="224"/>
      <c r="Q31" s="224"/>
    </row>
    <row r="32" spans="1:17" ht="15" customHeight="1">
      <c r="A32" s="203"/>
      <c r="B32" s="203" t="s">
        <v>100</v>
      </c>
      <c r="C32" s="203"/>
      <c r="D32" s="224"/>
      <c r="E32" s="224"/>
      <c r="F32" s="203"/>
      <c r="G32" s="203"/>
      <c r="H32" s="224"/>
      <c r="I32" s="224"/>
      <c r="J32" s="224"/>
      <c r="K32" s="203"/>
      <c r="L32" s="203"/>
      <c r="M32" s="203"/>
      <c r="N32" s="203"/>
      <c r="O32" s="224"/>
      <c r="P32" s="224"/>
      <c r="Q32" s="224"/>
    </row>
    <row r="33" spans="1:17" ht="15" customHeight="1">
      <c r="A33" s="224"/>
      <c r="B33" s="224"/>
      <c r="C33" s="224"/>
      <c r="D33" s="224"/>
      <c r="E33" s="224"/>
      <c r="F33" s="224"/>
      <c r="G33" s="224"/>
      <c r="H33" s="224">
        <v>5.24</v>
      </c>
      <c r="I33" s="224"/>
      <c r="J33" s="224"/>
      <c r="K33" s="222">
        <v>6842190</v>
      </c>
      <c r="L33" s="222">
        <v>7339872</v>
      </c>
      <c r="M33" s="222">
        <f>(L29+M29)/107432</f>
        <v>70.5550580288927</v>
      </c>
      <c r="N33" s="224"/>
      <c r="O33" s="224"/>
      <c r="P33" s="224"/>
      <c r="Q33" s="224"/>
    </row>
    <row r="34" spans="1:17" ht="15" customHeight="1">
      <c r="A34" s="224"/>
      <c r="B34" s="224" t="s">
        <v>103</v>
      </c>
      <c r="C34" s="224"/>
      <c r="D34" s="224"/>
      <c r="E34" s="224"/>
      <c r="F34" s="224"/>
      <c r="G34" s="224"/>
      <c r="H34" s="224">
        <v>7.73</v>
      </c>
      <c r="I34" s="224"/>
      <c r="J34" s="224"/>
      <c r="K34" s="222">
        <v>1884921</v>
      </c>
      <c r="L34" s="224"/>
      <c r="M34" s="222">
        <f>M33/12</f>
        <v>5.879588169074392</v>
      </c>
      <c r="N34" s="224"/>
      <c r="O34" s="224"/>
      <c r="P34" s="224"/>
      <c r="Q34" s="224"/>
    </row>
    <row r="35" spans="1:17" ht="1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33">
        <f>SUM(K33:K34)</f>
        <v>8727111</v>
      </c>
      <c r="L35" s="224"/>
      <c r="M35" s="224"/>
      <c r="N35" s="224"/>
      <c r="O35" s="224"/>
      <c r="P35" s="224"/>
      <c r="Q35" s="224"/>
    </row>
    <row r="36" spans="1:17" ht="15" customHeight="1">
      <c r="A36" s="224"/>
      <c r="B36" s="224" t="s">
        <v>104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</row>
    <row r="37" spans="1:17" ht="1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ht="15" customHeight="1">
      <c r="A38" s="224"/>
      <c r="B38" s="224"/>
      <c r="C38" s="224"/>
      <c r="D38" s="224"/>
      <c r="E38" s="224">
        <f>130680/1.202</f>
        <v>108718.80199667222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</row>
    <row r="39" spans="1:17" ht="1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</row>
    <row r="40" spans="1:17" ht="1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</row>
    <row r="41" spans="1:17" ht="15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</row>
    <row r="42" spans="1:17" ht="15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</row>
  </sheetData>
  <sheetProtection/>
  <mergeCells count="14">
    <mergeCell ref="N2:N4"/>
    <mergeCell ref="D3:E3"/>
    <mergeCell ref="F3:F4"/>
    <mergeCell ref="H3:H4"/>
    <mergeCell ref="A28:B28"/>
    <mergeCell ref="F29:K29"/>
    <mergeCell ref="K2:K4"/>
    <mergeCell ref="L2:L4"/>
    <mergeCell ref="D1:H1"/>
    <mergeCell ref="A2:A4"/>
    <mergeCell ref="B2:B4"/>
    <mergeCell ref="C2:C4"/>
    <mergeCell ref="D2:H2"/>
    <mergeCell ref="M2:M4"/>
  </mergeCells>
  <printOptions/>
  <pageMargins left="0.11811023622047245" right="0.11811023622047245" top="0.35433070866141736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ТСЖ</cp:lastModifiedBy>
  <cp:lastPrinted>2014-12-30T05:33:20Z</cp:lastPrinted>
  <dcterms:created xsi:type="dcterms:W3CDTF">2013-01-08T12:37:56Z</dcterms:created>
  <dcterms:modified xsi:type="dcterms:W3CDTF">2014-12-30T12:03:32Z</dcterms:modified>
  <cp:category/>
  <cp:version/>
  <cp:contentType/>
  <cp:contentStatus/>
</cp:coreProperties>
</file>